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605" yWindow="105" windowWidth="18195" windowHeight="77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3" i="1"/>
  <c r="L33" s="1"/>
  <c r="H33"/>
  <c r="Z18"/>
  <c r="Z19" s="1"/>
  <c r="Z20" s="1"/>
  <c r="Z21" s="1"/>
  <c r="Z22" s="1"/>
  <c r="Z23" s="1"/>
  <c r="Z24" s="1"/>
  <c r="Z25" s="1"/>
  <c r="Z26" s="1"/>
  <c r="Z27" s="1"/>
  <c r="Z28" s="1"/>
  <c r="Z29" s="1"/>
  <c r="Z30" s="1"/>
  <c r="Z31" s="1"/>
  <c r="Z32" s="1"/>
  <c r="Z35"/>
  <c r="E38" l="1"/>
  <c r="X38"/>
  <c r="V38"/>
  <c r="O38"/>
  <c r="P38" s="1"/>
  <c r="V30"/>
  <c r="Y30" s="1"/>
  <c r="P30"/>
  <c r="T30" s="1"/>
  <c r="AC19"/>
  <c r="N47"/>
  <c r="X59"/>
  <c r="U59"/>
  <c r="V59" s="1"/>
  <c r="P59"/>
  <c r="O59"/>
  <c r="E59"/>
  <c r="F59" s="1"/>
  <c r="X58"/>
  <c r="U58"/>
  <c r="V58" s="1"/>
  <c r="P58"/>
  <c r="O58"/>
  <c r="E58"/>
  <c r="F58" s="1"/>
  <c r="X57"/>
  <c r="U57"/>
  <c r="V57" s="1"/>
  <c r="P57"/>
  <c r="O57"/>
  <c r="E57"/>
  <c r="F57" s="1"/>
  <c r="X54"/>
  <c r="U54"/>
  <c r="V54" s="1"/>
  <c r="P54"/>
  <c r="O54"/>
  <c r="E54"/>
  <c r="F54" s="1"/>
  <c r="X53"/>
  <c r="U53"/>
  <c r="V53" s="1"/>
  <c r="P53"/>
  <c r="O53"/>
  <c r="E53"/>
  <c r="F53" s="1"/>
  <c r="X52"/>
  <c r="U52"/>
  <c r="V52" s="1"/>
  <c r="P52"/>
  <c r="O52"/>
  <c r="E52"/>
  <c r="F52" s="1"/>
  <c r="U47"/>
  <c r="E47"/>
  <c r="F47" s="1"/>
  <c r="X47" s="1"/>
  <c r="X45"/>
  <c r="U45"/>
  <c r="V45" s="1"/>
  <c r="P45"/>
  <c r="O45"/>
  <c r="E45"/>
  <c r="F45" s="1"/>
  <c r="N44"/>
  <c r="L11"/>
  <c r="P36"/>
  <c r="Z36" s="1"/>
  <c r="L10"/>
  <c r="L9"/>
  <c r="T58" l="1"/>
  <c r="T38"/>
  <c r="Y52"/>
  <c r="T59"/>
  <c r="Y58"/>
  <c r="Y59"/>
  <c r="Y54"/>
  <c r="Y53"/>
  <c r="Y57"/>
  <c r="T57"/>
  <c r="V47"/>
  <c r="Y47" s="1"/>
  <c r="T53"/>
  <c r="T54"/>
  <c r="T45"/>
  <c r="Y38"/>
  <c r="T52"/>
  <c r="Y45"/>
  <c r="O47"/>
  <c r="P47" s="1"/>
  <c r="T47" s="1"/>
  <c r="O11"/>
  <c r="O10"/>
  <c r="O9"/>
  <c r="P3" l="1"/>
  <c r="O3"/>
  <c r="P10" s="1"/>
  <c r="P9" l="1"/>
  <c r="P11"/>
  <c r="O55" l="1"/>
  <c r="P55" s="1"/>
  <c r="T55" s="1"/>
  <c r="V55"/>
  <c r="E55"/>
  <c r="F55" s="1"/>
  <c r="X55" s="1"/>
  <c r="V65"/>
  <c r="P65"/>
  <c r="T65" s="1"/>
  <c r="E65"/>
  <c r="F65" s="1"/>
  <c r="X65" s="1"/>
  <c r="N50"/>
  <c r="Y65" l="1"/>
  <c r="Y55"/>
  <c r="O50" l="1"/>
  <c r="P50" s="1"/>
  <c r="T50" s="1"/>
  <c r="V50"/>
  <c r="E50"/>
  <c r="F50" s="1"/>
  <c r="X50" s="1"/>
  <c r="E62"/>
  <c r="F62" s="1"/>
  <c r="E61"/>
  <c r="F61" s="1"/>
  <c r="X66"/>
  <c r="X62"/>
  <c r="X61"/>
  <c r="X19"/>
  <c r="E66"/>
  <c r="F66" s="1"/>
  <c r="U32"/>
  <c r="U31"/>
  <c r="N67"/>
  <c r="E60"/>
  <c r="F60" s="1"/>
  <c r="X60" s="1"/>
  <c r="E56"/>
  <c r="F56" s="1"/>
  <c r="X56" s="1"/>
  <c r="E51"/>
  <c r="F51" s="1"/>
  <c r="X51" s="1"/>
  <c r="E49"/>
  <c r="F49" s="1"/>
  <c r="X49" s="1"/>
  <c r="E48"/>
  <c r="F48" s="1"/>
  <c r="X48" s="1"/>
  <c r="E46"/>
  <c r="F46" s="1"/>
  <c r="X46" s="1"/>
  <c r="E44"/>
  <c r="F44" s="1"/>
  <c r="X44" s="1"/>
  <c r="E43"/>
  <c r="F43" s="1"/>
  <c r="X43" s="1"/>
  <c r="E42"/>
  <c r="F42" s="1"/>
  <c r="X42" s="1"/>
  <c r="E41"/>
  <c r="F41" s="1"/>
  <c r="X41" s="1"/>
  <c r="E40"/>
  <c r="F40" s="1"/>
  <c r="X40" s="1"/>
  <c r="E39"/>
  <c r="F39" s="1"/>
  <c r="X39" s="1"/>
  <c r="E37"/>
  <c r="F37" s="1"/>
  <c r="X37" s="1"/>
  <c r="E36"/>
  <c r="F36" s="1"/>
  <c r="X36" s="1"/>
  <c r="E35"/>
  <c r="F35" s="1"/>
  <c r="X35" s="1"/>
  <c r="E34"/>
  <c r="E32"/>
  <c r="F32" s="1"/>
  <c r="X32" s="1"/>
  <c r="E31"/>
  <c r="F31" s="1"/>
  <c r="X31" s="1"/>
  <c r="E29"/>
  <c r="F29" s="1"/>
  <c r="X29" s="1"/>
  <c r="E28"/>
  <c r="F28" s="1"/>
  <c r="X28" s="1"/>
  <c r="E27"/>
  <c r="F27" s="1"/>
  <c r="X27" s="1"/>
  <c r="E26"/>
  <c r="F26" s="1"/>
  <c r="X26" s="1"/>
  <c r="E25"/>
  <c r="F25" s="1"/>
  <c r="X25" s="1"/>
  <c r="E24"/>
  <c r="F24" s="1"/>
  <c r="X24" s="1"/>
  <c r="E23"/>
  <c r="F23" s="1"/>
  <c r="X23" s="1"/>
  <c r="E22"/>
  <c r="F22" s="1"/>
  <c r="X22" s="1"/>
  <c r="E21"/>
  <c r="F21" s="1"/>
  <c r="X21" s="1"/>
  <c r="E20"/>
  <c r="F20" s="1"/>
  <c r="X20" s="1"/>
  <c r="E19"/>
  <c r="F19" s="1"/>
  <c r="E18"/>
  <c r="F18" s="1"/>
  <c r="X18" s="1"/>
  <c r="E17"/>
  <c r="F17" s="1"/>
  <c r="X17" s="1"/>
  <c r="E16"/>
  <c r="F16" s="1"/>
  <c r="X16" s="1"/>
  <c r="W71"/>
  <c r="U66"/>
  <c r="V66" s="1"/>
  <c r="P66"/>
  <c r="O66"/>
  <c r="U62"/>
  <c r="V62" s="1"/>
  <c r="P62"/>
  <c r="O62"/>
  <c r="U61"/>
  <c r="V61" s="1"/>
  <c r="O61"/>
  <c r="P61" s="1"/>
  <c r="T61" s="1"/>
  <c r="P60"/>
  <c r="P56"/>
  <c r="P49"/>
  <c r="U35"/>
  <c r="V35" s="1"/>
  <c r="P31"/>
  <c r="V28"/>
  <c r="V27"/>
  <c r="V60"/>
  <c r="V56"/>
  <c r="V49"/>
  <c r="V41"/>
  <c r="U16"/>
  <c r="Y56" l="1"/>
  <c r="T62"/>
  <c r="Y28"/>
  <c r="Y60"/>
  <c r="Y27"/>
  <c r="Y49"/>
  <c r="Y41"/>
  <c r="Y66"/>
  <c r="Y67" s="1"/>
  <c r="T66"/>
  <c r="Y50"/>
  <c r="H75"/>
  <c r="X71"/>
  <c r="U71"/>
  <c r="Y62"/>
  <c r="Y61"/>
  <c r="H76" l="1"/>
  <c r="V31"/>
  <c r="T31"/>
  <c r="T60"/>
  <c r="T56"/>
  <c r="T49"/>
  <c r="T41"/>
  <c r="T36"/>
  <c r="T35"/>
  <c r="T32"/>
  <c r="T28"/>
  <c r="T27"/>
  <c r="Y31" l="1"/>
  <c r="V26"/>
  <c r="Y26" s="1"/>
  <c r="P26"/>
  <c r="T26" s="1"/>
  <c r="O51"/>
  <c r="T51" s="1"/>
  <c r="V51"/>
  <c r="Y51" s="1"/>
  <c r="O48"/>
  <c r="P48" s="1"/>
  <c r="T48" s="1"/>
  <c r="V48"/>
  <c r="Y48" s="1"/>
  <c r="O43"/>
  <c r="P44" l="1"/>
  <c r="T44" s="1"/>
  <c r="N42"/>
  <c r="O42" s="1"/>
  <c r="P42" l="1"/>
  <c r="T42" s="1"/>
  <c r="V42"/>
  <c r="Y42" s="1"/>
  <c r="V43"/>
  <c r="Y43" s="1"/>
  <c r="P43"/>
  <c r="T43" s="1"/>
  <c r="M11" l="1"/>
  <c r="M10"/>
  <c r="M9"/>
  <c r="N4"/>
  <c r="O4" s="1"/>
  <c r="Y35"/>
  <c r="O21" l="1"/>
  <c r="O37"/>
  <c r="P37" s="1"/>
  <c r="V37"/>
  <c r="Y37" s="1"/>
  <c r="V32"/>
  <c r="O22"/>
  <c r="N22"/>
  <c r="N33" s="1"/>
  <c r="N40"/>
  <c r="T37" l="1"/>
  <c r="Z37"/>
  <c r="Z38" s="1"/>
  <c r="Z39" s="1"/>
  <c r="O40"/>
  <c r="N63"/>
  <c r="Y32"/>
  <c r="N46"/>
  <c r="V24" l="1"/>
  <c r="K11"/>
  <c r="V46"/>
  <c r="V40"/>
  <c r="V39"/>
  <c r="Y39" s="1"/>
  <c r="V36"/>
  <c r="Y36" s="1"/>
  <c r="V29"/>
  <c r="V25"/>
  <c r="V23"/>
  <c r="V22"/>
  <c r="V21"/>
  <c r="V20"/>
  <c r="V19"/>
  <c r="V18"/>
  <c r="V17"/>
  <c r="V16"/>
  <c r="V44"/>
  <c r="Y44" s="1"/>
  <c r="V71" l="1"/>
  <c r="Y16"/>
  <c r="Y46"/>
  <c r="P46"/>
  <c r="T46" s="1"/>
  <c r="Y40"/>
  <c r="P40"/>
  <c r="T39"/>
  <c r="Y29"/>
  <c r="P29"/>
  <c r="T29" s="1"/>
  <c r="Y25"/>
  <c r="P25"/>
  <c r="T25" s="1"/>
  <c r="Y24"/>
  <c r="P24"/>
  <c r="T24" s="1"/>
  <c r="Y23"/>
  <c r="P23"/>
  <c r="T23" s="1"/>
  <c r="Y22"/>
  <c r="P22"/>
  <c r="T22" s="1"/>
  <c r="Y21"/>
  <c r="P21"/>
  <c r="T21" s="1"/>
  <c r="Y20"/>
  <c r="P20"/>
  <c r="T20" s="1"/>
  <c r="Y19"/>
  <c r="P19"/>
  <c r="T19" s="1"/>
  <c r="Y18"/>
  <c r="P18"/>
  <c r="T18" s="1"/>
  <c r="Y17"/>
  <c r="T17"/>
  <c r="P16"/>
  <c r="K9"/>
  <c r="K10"/>
  <c r="T40" l="1"/>
  <c r="Z40"/>
  <c r="Z41" s="1"/>
  <c r="Z42" s="1"/>
  <c r="Z43" s="1"/>
  <c r="Z44" s="1"/>
  <c r="Z45" s="1"/>
  <c r="Z46" s="1"/>
  <c r="Z47" s="1"/>
  <c r="Z48" s="1"/>
  <c r="Z49" s="1"/>
  <c r="Z50" s="1"/>
  <c r="Z51" s="1"/>
  <c r="Z52" s="1"/>
  <c r="Z53" s="1"/>
  <c r="Z54" s="1"/>
  <c r="Z55" s="1"/>
  <c r="Z56" s="1"/>
  <c r="Z57" s="1"/>
  <c r="Z58" s="1"/>
  <c r="Z59" s="1"/>
  <c r="Z60" s="1"/>
  <c r="Z61" s="1"/>
  <c r="Z62" s="1"/>
  <c r="H63" s="1"/>
  <c r="T16"/>
  <c r="Z16"/>
  <c r="Z17" s="1"/>
  <c r="Y63"/>
  <c r="Y33"/>
  <c r="Q9"/>
  <c r="R9" s="1"/>
  <c r="S9" s="1"/>
  <c r="Q11"/>
  <c r="R11" s="1"/>
  <c r="S11" s="1"/>
  <c r="Q10"/>
  <c r="R10" s="1"/>
  <c r="S10" s="1"/>
  <c r="J63" l="1"/>
  <c r="L63" s="1"/>
  <c r="H71"/>
  <c r="Y71"/>
  <c r="T10"/>
  <c r="U10" s="1"/>
  <c r="T9"/>
  <c r="U9" s="1"/>
  <c r="T11"/>
  <c r="U11" s="1"/>
  <c r="H73" l="1"/>
  <c r="H79" s="1"/>
  <c r="H80" s="1"/>
  <c r="H78"/>
  <c r="W10"/>
  <c r="X10" s="1"/>
  <c r="V10"/>
  <c r="W9"/>
  <c r="X9" s="1"/>
  <c r="V9"/>
  <c r="W11"/>
  <c r="X11" s="1"/>
  <c r="V11"/>
  <c r="Y73"/>
</calcChain>
</file>

<file path=xl/sharedStrings.xml><?xml version="1.0" encoding="utf-8"?>
<sst xmlns="http://schemas.openxmlformats.org/spreadsheetml/2006/main" count="400" uniqueCount="216">
  <si>
    <t>TAX</t>
  </si>
  <si>
    <t xml:space="preserve">PER </t>
  </si>
  <si>
    <t>NIGH</t>
  </si>
  <si>
    <t>MONTH</t>
  </si>
  <si>
    <t>EXTRA</t>
  </si>
  <si>
    <t xml:space="preserve"> NIGHTS</t>
  </si>
  <si>
    <t xml:space="preserve"> PEOPLE</t>
  </si>
  <si>
    <t>TOTAL</t>
  </si>
  <si>
    <t xml:space="preserve"> BIKES</t>
  </si>
  <si>
    <t>POOL</t>
  </si>
  <si>
    <t>CLEAN</t>
  </si>
  <si>
    <t>BIKES</t>
  </si>
  <si>
    <t>PEOPLE</t>
  </si>
  <si>
    <t xml:space="preserve"> TAX</t>
  </si>
  <si>
    <t>July 1 to August 31</t>
  </si>
  <si>
    <t xml:space="preserve"> HEAT THE POOL 1=Y 0=N</t>
  </si>
  <si>
    <t>PAYPAL</t>
  </si>
  <si>
    <t>TOTAL INC</t>
  </si>
  <si>
    <t>NAME</t>
  </si>
  <si>
    <t>SITE</t>
  </si>
  <si>
    <t>DATES</t>
  </si>
  <si>
    <t>People</t>
  </si>
  <si>
    <t>RENT</t>
  </si>
  <si>
    <t>DEPOSIT</t>
  </si>
  <si>
    <t>BALANCE</t>
  </si>
  <si>
    <t>DUE</t>
  </si>
  <si>
    <t>A/D/F1/B/F2/T</t>
  </si>
  <si>
    <t>NET</t>
  </si>
  <si>
    <t>REPAIRS</t>
  </si>
  <si>
    <t>GREET</t>
  </si>
  <si>
    <t>NET NET</t>
  </si>
  <si>
    <t>HR</t>
  </si>
  <si>
    <t>19 Jun to 3 Jul</t>
  </si>
  <si>
    <t>5  inc 3 children 10,10 and 16</t>
  </si>
  <si>
    <r>
      <t xml:space="preserve">Clean </t>
    </r>
    <r>
      <rPr>
        <sz val="10"/>
        <color rgb="FFFF0000"/>
        <rFont val="Verdana"/>
        <family val="2"/>
      </rPr>
      <t xml:space="preserve">ENTRY &amp; Exit </t>
    </r>
  </si>
  <si>
    <t>Now</t>
  </si>
  <si>
    <t>8 inc 2 children</t>
  </si>
  <si>
    <r>
      <t xml:space="preserve">Clean </t>
    </r>
    <r>
      <rPr>
        <sz val="10"/>
        <color rgb="FFFF0000"/>
        <rFont val="Verdana"/>
        <family val="2"/>
      </rPr>
      <t>Exit ONLY</t>
    </r>
  </si>
  <si>
    <t>EMAIL</t>
  </si>
  <si>
    <t>Justin List</t>
  </si>
  <si>
    <t>28 July to 4 August</t>
  </si>
  <si>
    <t>4 Inc 2 children</t>
  </si>
  <si>
    <t>little_redhouse @ hotmail.com</t>
  </si>
  <si>
    <t>NA</t>
  </si>
  <si>
    <t>7 Jully to 22 July</t>
  </si>
  <si>
    <t xml:space="preserve"> Feb 25-11</t>
  </si>
  <si>
    <t>Dos Santos (no meet and greet)</t>
  </si>
  <si>
    <t>dagfinnh@gmail.com</t>
  </si>
  <si>
    <t>justinlist@me.com</t>
  </si>
  <si>
    <t>John Brezovsky</t>
  </si>
  <si>
    <t>johnnobonno@aol.com</t>
  </si>
  <si>
    <t>8 oct 15 oct</t>
  </si>
  <si>
    <t>j_helweg@hotmail.com</t>
  </si>
  <si>
    <t>Julie Helweg</t>
  </si>
  <si>
    <t>Heat</t>
  </si>
  <si>
    <t>Bikes</t>
  </si>
  <si>
    <t>Pool</t>
  </si>
  <si>
    <t>Y</t>
  </si>
  <si>
    <t>A/D/F1</t>
  </si>
  <si>
    <t>N</t>
  </si>
  <si>
    <t>Dagfinn Haakonsen</t>
  </si>
  <si>
    <t>Paul  Ward</t>
  </si>
  <si>
    <t>pgkward@gmail.com</t>
  </si>
  <si>
    <t>OD</t>
  </si>
  <si>
    <t>9 august to 22 August</t>
  </si>
  <si>
    <t>3 inc 1 child</t>
  </si>
  <si>
    <t>9 inc 4 children</t>
  </si>
  <si>
    <t>Bank 0</t>
  </si>
  <si>
    <t>PAY PAL0</t>
  </si>
  <si>
    <t>Alison Gibbens</t>
  </si>
  <si>
    <t>alijg76@yahoo.co.uk</t>
  </si>
  <si>
    <t>5 to 16 june 2011</t>
  </si>
  <si>
    <t>bank 0</t>
  </si>
  <si>
    <t>Apr 10-11</t>
  </si>
  <si>
    <t>Jul 5-10</t>
  </si>
  <si>
    <t>Nick Fister</t>
  </si>
  <si>
    <t>jnfister@yahoo.com</t>
  </si>
  <si>
    <t>29 Mar to 12 Apr 2011</t>
  </si>
  <si>
    <t>Feb 01-11</t>
  </si>
  <si>
    <t>Linda Lyucett</t>
  </si>
  <si>
    <t>6 sep to 18 sep 2010</t>
  </si>
  <si>
    <t>lalycett@yahoo.co.uk</t>
  </si>
  <si>
    <t>4 inc 2 children</t>
  </si>
  <si>
    <t>Jul 12-10</t>
  </si>
  <si>
    <t xml:space="preserve">3 Inc 1 child </t>
  </si>
  <si>
    <t>Wendy Frost</t>
  </si>
  <si>
    <t>wendyfrost20@hotmail.com</t>
  </si>
  <si>
    <t>17 oct to  31 oct</t>
  </si>
  <si>
    <t>6 inc 2 children</t>
  </si>
  <si>
    <t>Aug 22-10</t>
  </si>
  <si>
    <t>Dos Santos</t>
  </si>
  <si>
    <t>3 Inc 1 child</t>
  </si>
  <si>
    <t>Dos  Santos</t>
  </si>
  <si>
    <t>25 Mar to 27 Mar 2011</t>
  </si>
  <si>
    <t>greg@cottingham.ca</t>
  </si>
  <si>
    <t>greg cottingham</t>
  </si>
  <si>
    <t>12 Mar to 19 March 2011</t>
  </si>
  <si>
    <t>Jan 15-11</t>
  </si>
  <si>
    <t>A/D=Need updated agr + pool</t>
  </si>
  <si>
    <t>8 oct to 11 oct 2011</t>
  </si>
  <si>
    <t>Al@Americansweets.co.uk</t>
  </si>
  <si>
    <t>Al Baker</t>
  </si>
  <si>
    <t>??</t>
  </si>
  <si>
    <t>3 incl 1 chikd</t>
  </si>
  <si>
    <t>27 Aug to 3 Sep</t>
  </si>
  <si>
    <t>Jul 15-10</t>
  </si>
  <si>
    <t>1 Jan 2011 to 28 Feb 2011</t>
  </si>
  <si>
    <t>3 inc 1 children</t>
  </si>
  <si>
    <t>Aug 20-10</t>
  </si>
  <si>
    <t>ORIGINAL COSTS</t>
  </si>
  <si>
    <t>22 April to 29 april 2011</t>
  </si>
  <si>
    <t>26 dec to 31 dec 2011</t>
  </si>
  <si>
    <t>CLEAN EVERY 2 WEEKS + HOUSE WATCH</t>
  </si>
  <si>
    <t>D/A/F1</t>
  </si>
  <si>
    <t>blonde205@hotmail.com</t>
  </si>
  <si>
    <t>5 inc 3 children</t>
  </si>
  <si>
    <t>Smantha  Copple</t>
  </si>
  <si>
    <t>Neville Chesworth</t>
  </si>
  <si>
    <t>nevillechesworth@hotmail.com</t>
  </si>
  <si>
    <t>22 Nov to 29 Nov 2010</t>
  </si>
  <si>
    <t>2 inc 0 children</t>
  </si>
  <si>
    <t>Sept 27-10</t>
  </si>
  <si>
    <t>Annie Peryra</t>
  </si>
  <si>
    <t>Mar 6-11</t>
  </si>
  <si>
    <t xml:space="preserve">INTERIM CLEAN MAY 4 + Clean ON EXIT </t>
  </si>
  <si>
    <t>1 May to 8 May 2011</t>
  </si>
  <si>
    <t>4 inc 0 children</t>
  </si>
  <si>
    <t>apereyra@optonline.net</t>
  </si>
  <si>
    <t>wnewsome@blueyonder.co.uk</t>
  </si>
  <si>
    <t>Wayne Newsome</t>
  </si>
  <si>
    <t>1  Oct to 8 Oct</t>
  </si>
  <si>
    <t>Aug 6-10</t>
  </si>
  <si>
    <t>20 Jul to 29 Jul 2011</t>
  </si>
  <si>
    <t>ines1973@hotmail.co.uk</t>
  </si>
  <si>
    <t>Andy Colbridge</t>
  </si>
  <si>
    <t>9 to 16 Jul 2011</t>
  </si>
  <si>
    <t>6 Inc 2 Children</t>
  </si>
  <si>
    <t>May 14-11</t>
  </si>
  <si>
    <t>#</t>
  </si>
  <si>
    <t>Nights</t>
  </si>
  <si>
    <t>13 Nov to 19 Nov 10</t>
  </si>
  <si>
    <t>Weeks:</t>
  </si>
  <si>
    <t>Nights:</t>
  </si>
  <si>
    <t>Jun 16-11</t>
  </si>
  <si>
    <t>A/D/F1/B/F2/T APPL TO NEXT YER</t>
  </si>
  <si>
    <t>12 august to 27 August</t>
  </si>
  <si>
    <t>colinrann5@yahoo.co.uk</t>
  </si>
  <si>
    <t xml:space="preserve"> PAY PAL 3.9%? 1=Y 0=N</t>
  </si>
  <si>
    <t>Sep 16-10</t>
  </si>
  <si>
    <t>4 Nov to 13 Nov</t>
  </si>
  <si>
    <t>20 Nov  to 21 Nov 2010</t>
  </si>
  <si>
    <t>Us Nights</t>
  </si>
  <si>
    <t>Us Weeks</t>
  </si>
  <si>
    <t>Rented Nights</t>
  </si>
  <si>
    <t>Rented Weeks</t>
  </si>
  <si>
    <t>A/D/REPEAT CLIENT/</t>
  </si>
  <si>
    <t>D/A/F1/B/F2/RI/T</t>
  </si>
  <si>
    <t>15 April to 22 April 2011</t>
  </si>
  <si>
    <t>Per week NET NET</t>
  </si>
  <si>
    <t>29-Jul to Aug 5 2011</t>
  </si>
  <si>
    <t>Jun-3-11</t>
  </si>
  <si>
    <t>daniel.cronin@hotmail.co.uk</t>
  </si>
  <si>
    <t>Daniel Cronin</t>
  </si>
  <si>
    <t>QUOTED</t>
  </si>
  <si>
    <t>BANK OR</t>
  </si>
  <si>
    <r>
      <t>BANK</t>
    </r>
    <r>
      <rPr>
        <b/>
        <sz val="18"/>
        <color rgb="FFFF0000"/>
        <rFont val="Calibri"/>
        <family val="2"/>
        <scheme val="minor"/>
      </rPr>
      <t xml:space="preserve"> OR</t>
    </r>
  </si>
  <si>
    <t>PER</t>
  </si>
  <si>
    <t>PERSON</t>
  </si>
  <si>
    <t>1 Jan to 29 Feb 2012</t>
  </si>
  <si>
    <t>5 inc 1 child</t>
  </si>
  <si>
    <t>Collin Ran</t>
  </si>
  <si>
    <t>22 Sep to 29 Sep</t>
  </si>
  <si>
    <t>Martin Smith</t>
  </si>
  <si>
    <t>bastoad@hotmail.com</t>
  </si>
  <si>
    <t>Jul-28-11</t>
  </si>
  <si>
    <t>DISCOUNT</t>
  </si>
  <si>
    <t>BASE</t>
  </si>
  <si>
    <t>ADJUSTED TO DISCOUT TO 6 PEOPLE</t>
  </si>
  <si>
    <t>1 Mar to 8 mar 2011</t>
  </si>
  <si>
    <t>Rolland Lavallee</t>
  </si>
  <si>
    <t>ray.lavallee@verizon.net</t>
  </si>
  <si>
    <t>Dec 7-10</t>
  </si>
  <si>
    <t>June 1 to June 30 &amp; Sep 1 Dec 31</t>
  </si>
  <si>
    <t>Jan 1 to May 31</t>
  </si>
  <si>
    <t>toddbonin@hotmail.com</t>
  </si>
  <si>
    <t>OR</t>
  </si>
  <si>
    <t>NOW</t>
  </si>
  <si>
    <t>Karel Van Roten</t>
  </si>
  <si>
    <t>karel.van.roten@telenet.be</t>
  </si>
  <si>
    <t>18  Dec to 25 Dec 2010</t>
  </si>
  <si>
    <t>26 dec to 30 dec 2010</t>
  </si>
  <si>
    <t>Bank 47</t>
  </si>
  <si>
    <t>9 May to29 May 2011</t>
  </si>
  <si>
    <r>
      <t>8 Inc 2 children (</t>
    </r>
    <r>
      <rPr>
        <sz val="11"/>
        <color rgb="FFFF0000"/>
        <rFont val="Calibri"/>
        <family val="2"/>
        <scheme val="minor"/>
      </rPr>
      <t>Flex Guets</t>
    </r>
    <r>
      <rPr>
        <sz val="11"/>
        <color theme="1"/>
        <rFont val="Calibri"/>
        <family val="2"/>
        <scheme val="minor"/>
      </rPr>
      <t>)</t>
    </r>
  </si>
  <si>
    <t>Todd bonin</t>
  </si>
  <si>
    <t>A/D/F1/B/F2</t>
  </si>
  <si>
    <t>D/A/F1/B/F2/T</t>
  </si>
  <si>
    <t>DONE</t>
  </si>
  <si>
    <t>24 Jun to 8 Jul</t>
  </si>
  <si>
    <t>4 inc 1 child</t>
  </si>
  <si>
    <t>Apr 29-11</t>
  </si>
  <si>
    <t>laura_alice@hotmail.co.uk</t>
  </si>
  <si>
    <t>Graham Robson</t>
  </si>
  <si>
    <t>A/D/F1/B/F2/R/T</t>
  </si>
  <si>
    <t>A/D/F1/F2/T</t>
  </si>
  <si>
    <t>A/D/F1/RQB/B/F2</t>
  </si>
  <si>
    <t>millmanjacqueline@hotmail.co.uk</t>
  </si>
  <si>
    <t>Jackie Milman</t>
  </si>
  <si>
    <t>1 Inc 0 children</t>
  </si>
  <si>
    <t>Dorothy Lyons</t>
  </si>
  <si>
    <t>dvlyons@charter.net</t>
  </si>
  <si>
    <t>19 Mar 25 Mar</t>
  </si>
  <si>
    <r>
      <t xml:space="preserve">5 Dec to </t>
    </r>
    <r>
      <rPr>
        <b/>
        <sz val="11"/>
        <color rgb="FFFF0000"/>
        <rFont val="Calibri"/>
        <family val="2"/>
        <scheme val="minor"/>
      </rPr>
      <t>16 dec</t>
    </r>
  </si>
  <si>
    <t>BANK</t>
  </si>
  <si>
    <t>Weeks</t>
  </si>
  <si>
    <t>AVGNET per Week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</si>
</sst>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8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Verdana"/>
      <family val="2"/>
    </font>
    <font>
      <sz val="10"/>
      <color rgb="FFFF0000"/>
      <name val="Verdan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2"/>
      <name val="Calibri"/>
      <family val="2"/>
      <scheme val="minor"/>
    </font>
    <font>
      <sz val="12"/>
      <color rgb="FF2A2A2A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egoe UI"/>
      <family val="2"/>
    </font>
    <font>
      <sz val="12"/>
      <color rgb="FF2A2A2A"/>
      <name val="Segoe UI"/>
      <family val="2"/>
    </font>
    <font>
      <sz val="10"/>
      <color theme="1"/>
      <name val="Segoe UI"/>
      <family val="2"/>
    </font>
    <font>
      <b/>
      <sz val="12"/>
      <color rgb="FFFF0000"/>
      <name val="Verdana"/>
      <family val="2"/>
    </font>
    <font>
      <sz val="11"/>
      <color rgb="FF2A2A2A"/>
      <name val="Calibri"/>
      <family val="2"/>
      <scheme val="minor"/>
    </font>
    <font>
      <sz val="11"/>
      <color theme="1"/>
      <name val="Arial"/>
      <family val="2"/>
    </font>
    <font>
      <b/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right"/>
    </xf>
    <xf numFmtId="10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0" xfId="0" applyFont="1"/>
    <xf numFmtId="0" fontId="14" fillId="0" borderId="0" xfId="0" applyFont="1"/>
    <xf numFmtId="0" fontId="0" fillId="0" borderId="0" xfId="0" applyFont="1" applyAlignment="1">
      <alignment horizontal="right"/>
    </xf>
    <xf numFmtId="0" fontId="15" fillId="0" borderId="0" xfId="0" applyFont="1"/>
    <xf numFmtId="0" fontId="0" fillId="2" borderId="0" xfId="0" applyFill="1"/>
    <xf numFmtId="0" fontId="0" fillId="2" borderId="0" xfId="0" applyFont="1" applyFill="1"/>
    <xf numFmtId="0" fontId="5" fillId="2" borderId="0" xfId="0" applyFont="1" applyFill="1"/>
    <xf numFmtId="0" fontId="0" fillId="2" borderId="0" xfId="0" applyFill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right"/>
    </xf>
    <xf numFmtId="16" fontId="0" fillId="2" borderId="0" xfId="0" applyNumberFormat="1" applyFill="1" applyAlignment="1">
      <alignment horizontal="right"/>
    </xf>
    <xf numFmtId="0" fontId="1" fillId="2" borderId="0" xfId="0" applyFont="1" applyFill="1" applyAlignment="1">
      <alignment horizontal="right"/>
    </xf>
    <xf numFmtId="0" fontId="16" fillId="3" borderId="0" xfId="0" applyFont="1" applyFill="1"/>
    <xf numFmtId="0" fontId="5" fillId="3" borderId="0" xfId="0" applyFont="1" applyFill="1"/>
    <xf numFmtId="0" fontId="0" fillId="3" borderId="0" xfId="0" applyFont="1" applyFill="1"/>
    <xf numFmtId="0" fontId="0" fillId="3" borderId="0" xfId="0" applyFill="1"/>
    <xf numFmtId="0" fontId="0" fillId="3" borderId="0" xfId="0" applyFill="1" applyAlignment="1">
      <alignment horizontal="left"/>
    </xf>
    <xf numFmtId="0" fontId="2" fillId="3" borderId="0" xfId="0" applyFont="1" applyFill="1"/>
    <xf numFmtId="0" fontId="0" fillId="3" borderId="0" xfId="0" applyFill="1" applyAlignment="1">
      <alignment horizontal="right"/>
    </xf>
    <xf numFmtId="16" fontId="0" fillId="3" borderId="0" xfId="0" applyNumberFormat="1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4" borderId="0" xfId="0" applyFill="1"/>
    <xf numFmtId="0" fontId="0" fillId="4" borderId="0" xfId="0" applyFont="1" applyFill="1"/>
    <xf numFmtId="0" fontId="5" fillId="4" borderId="0" xfId="0" applyFont="1" applyFill="1"/>
    <xf numFmtId="0" fontId="0" fillId="4" borderId="0" xfId="0" applyFill="1" applyAlignment="1">
      <alignment horizontal="left"/>
    </xf>
    <xf numFmtId="0" fontId="2" fillId="4" borderId="0" xfId="0" applyFont="1" applyFill="1"/>
    <xf numFmtId="0" fontId="0" fillId="4" borderId="0" xfId="0" applyFill="1" applyAlignment="1">
      <alignment horizontal="right"/>
    </xf>
    <xf numFmtId="16" fontId="0" fillId="4" borderId="0" xfId="0" applyNumberFormat="1" applyFill="1" applyAlignment="1">
      <alignment horizontal="right"/>
    </xf>
    <xf numFmtId="0" fontId="1" fillId="4" borderId="0" xfId="0" applyFont="1" applyFill="1" applyAlignment="1">
      <alignment horizontal="right"/>
    </xf>
    <xf numFmtId="0" fontId="0" fillId="5" borderId="0" xfId="0" applyFill="1"/>
    <xf numFmtId="0" fontId="0" fillId="5" borderId="0" xfId="0" applyFont="1" applyFill="1"/>
    <xf numFmtId="0" fontId="5" fillId="5" borderId="0" xfId="0" applyFont="1" applyFill="1"/>
    <xf numFmtId="0" fontId="0" fillId="5" borderId="0" xfId="0" applyFill="1" applyAlignment="1">
      <alignment horizontal="left"/>
    </xf>
    <xf numFmtId="0" fontId="2" fillId="5" borderId="0" xfId="0" applyFont="1" applyFill="1"/>
    <xf numFmtId="0" fontId="1" fillId="5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16" fontId="0" fillId="5" borderId="0" xfId="0" applyNumberFormat="1" applyFill="1" applyAlignment="1">
      <alignment horizontal="right"/>
    </xf>
    <xf numFmtId="0" fontId="0" fillId="6" borderId="0" xfId="0" applyFill="1" applyAlignment="1">
      <alignment horizontal="right"/>
    </xf>
    <xf numFmtId="0" fontId="0" fillId="6" borderId="0" xfId="0" applyFill="1"/>
    <xf numFmtId="0" fontId="4" fillId="0" borderId="0" xfId="0" applyFont="1"/>
    <xf numFmtId="0" fontId="17" fillId="0" borderId="0" xfId="0" applyFont="1" applyAlignment="1">
      <alignment horizontal="right"/>
    </xf>
    <xf numFmtId="164" fontId="0" fillId="0" borderId="0" xfId="0" applyNumberFormat="1"/>
    <xf numFmtId="0" fontId="1" fillId="0" borderId="0" xfId="0" applyFont="1"/>
    <xf numFmtId="0" fontId="14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8"/>
  <sheetViews>
    <sheetView tabSelected="1" topLeftCell="A13" zoomScale="60" zoomScaleNormal="60" workbookViewId="0">
      <selection activeCell="I33" sqref="I33:L33"/>
    </sheetView>
  </sheetViews>
  <sheetFormatPr defaultRowHeight="15"/>
  <cols>
    <col min="1" max="1" width="4.5703125" style="4" customWidth="1"/>
    <col min="2" max="2" width="26.7109375" customWidth="1"/>
    <col min="3" max="3" width="30.140625" style="4" customWidth="1"/>
    <col min="4" max="4" width="6.85546875" style="4" customWidth="1"/>
    <col min="5" max="6" width="6.85546875" style="4" hidden="1" customWidth="1"/>
    <col min="7" max="7" width="26.140625" style="4" customWidth="1"/>
    <col min="8" max="8" width="6.85546875" style="4" customWidth="1"/>
    <col min="9" max="9" width="29.85546875" style="4" customWidth="1"/>
    <col min="10" max="10" width="6.140625" style="4" customWidth="1"/>
    <col min="11" max="11" width="19.5703125" style="7" customWidth="1"/>
    <col min="12" max="13" width="9.140625" customWidth="1"/>
    <col min="14" max="14" width="9.28515625" customWidth="1"/>
    <col min="15" max="15" width="10.42578125" customWidth="1"/>
    <col min="16" max="16" width="11.42578125" customWidth="1"/>
    <col min="17" max="17" width="11.5703125" customWidth="1"/>
    <col min="18" max="18" width="12.7109375" customWidth="1"/>
    <col min="19" max="19" width="19.28515625" customWidth="1"/>
    <col min="20" max="20" width="13.140625" customWidth="1"/>
    <col min="22" max="22" width="13.7109375" customWidth="1"/>
    <col min="23" max="23" width="0.42578125" customWidth="1"/>
    <col min="24" max="24" width="11.42578125" customWidth="1"/>
    <col min="25" max="25" width="10.5703125" customWidth="1"/>
    <col min="29" max="29" width="36.42578125" customWidth="1"/>
  </cols>
  <sheetData>
    <row r="1" spans="1:29">
      <c r="C1"/>
      <c r="L1" s="2">
        <v>0.1</v>
      </c>
      <c r="M1" t="s">
        <v>13</v>
      </c>
      <c r="P1" s="9" t="s">
        <v>176</v>
      </c>
    </row>
    <row r="2" spans="1:29">
      <c r="C2" s="22"/>
      <c r="L2">
        <v>30</v>
      </c>
      <c r="M2" t="s">
        <v>5</v>
      </c>
      <c r="P2" s="9" t="s">
        <v>175</v>
      </c>
    </row>
    <row r="3" spans="1:29">
      <c r="C3"/>
      <c r="H3" s="61" t="s">
        <v>177</v>
      </c>
      <c r="L3">
        <v>2</v>
      </c>
      <c r="M3" t="s">
        <v>6</v>
      </c>
      <c r="O3">
        <f>IF(L3&gt;6,8,15)</f>
        <v>15</v>
      </c>
      <c r="P3">
        <f>15*L2*2*-1</f>
        <v>-900</v>
      </c>
    </row>
    <row r="4" spans="1:29">
      <c r="C4"/>
      <c r="H4" s="61"/>
      <c r="L4">
        <v>0</v>
      </c>
      <c r="M4" t="s">
        <v>8</v>
      </c>
      <c r="N4">
        <f>IF(L2=7,1,1-(0.3*((L2/7)-1)))</f>
        <v>1.4285714285714346E-2</v>
      </c>
      <c r="O4" s="4">
        <f>IF(N4&gt;=0.5,N4,0.5)</f>
        <v>0.5</v>
      </c>
    </row>
    <row r="5" spans="1:29">
      <c r="C5"/>
      <c r="L5">
        <v>1</v>
      </c>
      <c r="M5" t="s">
        <v>15</v>
      </c>
    </row>
    <row r="6" spans="1:29">
      <c r="C6"/>
      <c r="L6">
        <v>0</v>
      </c>
      <c r="M6" s="4" t="s">
        <v>147</v>
      </c>
      <c r="T6" s="3" t="s">
        <v>17</v>
      </c>
    </row>
    <row r="7" spans="1:29" ht="23.25">
      <c r="C7"/>
      <c r="P7" s="1" t="s">
        <v>4</v>
      </c>
      <c r="R7" s="3" t="s">
        <v>163</v>
      </c>
      <c r="S7" s="59" t="s">
        <v>165</v>
      </c>
      <c r="T7" s="3" t="s">
        <v>164</v>
      </c>
      <c r="U7" s="1" t="s">
        <v>1</v>
      </c>
      <c r="V7" s="4" t="s">
        <v>166</v>
      </c>
      <c r="X7" s="1" t="s">
        <v>1</v>
      </c>
    </row>
    <row r="8" spans="1:29">
      <c r="I8" s="6" t="s">
        <v>109</v>
      </c>
      <c r="K8" s="7" t="s">
        <v>163</v>
      </c>
      <c r="M8" s="1" t="s">
        <v>9</v>
      </c>
      <c r="N8" s="1" t="s">
        <v>10</v>
      </c>
      <c r="O8" s="1" t="s">
        <v>11</v>
      </c>
      <c r="P8" s="1" t="s">
        <v>12</v>
      </c>
      <c r="Q8" s="1" t="s">
        <v>0</v>
      </c>
      <c r="R8" s="3" t="s">
        <v>7</v>
      </c>
      <c r="S8" s="1" t="s">
        <v>16</v>
      </c>
      <c r="T8" s="3" t="s">
        <v>16</v>
      </c>
      <c r="U8" s="1" t="s">
        <v>2</v>
      </c>
      <c r="V8" s="3" t="s">
        <v>167</v>
      </c>
      <c r="X8" s="1" t="s">
        <v>3</v>
      </c>
    </row>
    <row r="9" spans="1:29">
      <c r="B9" s="4" t="s">
        <v>182</v>
      </c>
      <c r="G9" s="4">
        <v>1120</v>
      </c>
      <c r="I9" s="4">
        <v>1020</v>
      </c>
      <c r="K9" s="7">
        <f>L9+P9</f>
        <v>3900</v>
      </c>
      <c r="L9">
        <f>1120/7*$L$2</f>
        <v>4800</v>
      </c>
      <c r="M9" s="4">
        <f>IF($L$2&lt;=7,(100/7*$L$2*$L$5),(100+(($L$2-7)*8))*$L$5)</f>
        <v>284</v>
      </c>
      <c r="N9">
        <v>125</v>
      </c>
      <c r="O9">
        <f>IF($L$4&gt;0,100,0)</f>
        <v>0</v>
      </c>
      <c r="P9">
        <f>IF($L$3&gt;6,(($L$3-6)*$O$3*$L$2)+$P$3,2*$O$3*$L$2*-1)</f>
        <v>-900</v>
      </c>
      <c r="Q9">
        <f>(L9+M9+N9+O9+P9)*$L$1</f>
        <v>430.90000000000003</v>
      </c>
      <c r="R9" s="58">
        <f>L9+M9+N9+O9+P9+Q9</f>
        <v>4739.8999999999996</v>
      </c>
      <c r="S9" s="4">
        <f>IF($L$6 = 1,((R9+500)*0.039*$L$6),47)</f>
        <v>47</v>
      </c>
      <c r="T9">
        <f>R9+S9</f>
        <v>4786.8999999999996</v>
      </c>
      <c r="U9">
        <f>T9/$L$2</f>
        <v>159.56333333333333</v>
      </c>
      <c r="V9" s="60">
        <f>U9/$L$3</f>
        <v>79.781666666666666</v>
      </c>
      <c r="W9">
        <f>U9*30</f>
        <v>4786.8999999999996</v>
      </c>
      <c r="X9">
        <f>W9*0.75</f>
        <v>3590.1749999999997</v>
      </c>
    </row>
    <row r="10" spans="1:29">
      <c r="B10" t="s">
        <v>14</v>
      </c>
      <c r="G10" s="4">
        <v>1220</v>
      </c>
      <c r="I10" s="4">
        <v>1250</v>
      </c>
      <c r="K10" s="7">
        <f>L10+P10</f>
        <v>4328.5714285714284</v>
      </c>
      <c r="L10" s="4">
        <f>1220/7*$L$2</f>
        <v>5228.5714285714284</v>
      </c>
      <c r="M10" s="4">
        <f t="shared" ref="M10:M11" si="0">IF($L$2&lt;=7,(100/7*$L$2*$L$5),(100+(($L$2-7)*8))*$L$5)</f>
        <v>284</v>
      </c>
      <c r="N10" s="4">
        <v>125</v>
      </c>
      <c r="O10" s="4">
        <f t="shared" ref="O10:O11" si="1">IF($L$4&gt;0,100,0)</f>
        <v>0</v>
      </c>
      <c r="P10" s="4">
        <f t="shared" ref="P10:P11" si="2">IF($L$3&gt;6,(($L$3-6)*$O$3*$L$2)+$P$3,2*$O$3*$L$2*-1)</f>
        <v>-900</v>
      </c>
      <c r="Q10">
        <f>(L10+M10+N10+O10+P10)*$L$1</f>
        <v>473.75714285714287</v>
      </c>
      <c r="R10" s="58">
        <f>L10+M10+N10+O10+P10+Q10</f>
        <v>5211.3285714285712</v>
      </c>
      <c r="S10" s="4">
        <f>IF($L$6 = 1,((R10+500)*0.039*$L$6),47)</f>
        <v>47</v>
      </c>
      <c r="T10">
        <f>R10+S10</f>
        <v>5258.3285714285712</v>
      </c>
      <c r="U10">
        <f>T10/$L$2</f>
        <v>175.27761904761903</v>
      </c>
      <c r="V10" s="60">
        <f t="shared" ref="V10:V11" si="3">U10/$L$3</f>
        <v>87.638809523809513</v>
      </c>
      <c r="W10">
        <f>U10*30</f>
        <v>5258.3285714285712</v>
      </c>
      <c r="X10">
        <f>W10*0.75</f>
        <v>3943.7464285714286</v>
      </c>
    </row>
    <row r="11" spans="1:29">
      <c r="B11" s="4" t="s">
        <v>183</v>
      </c>
      <c r="G11" s="4">
        <v>1320</v>
      </c>
      <c r="I11" s="4">
        <v>1350</v>
      </c>
      <c r="K11" s="7">
        <f>L11+P11</f>
        <v>4757.1428571428578</v>
      </c>
      <c r="L11" s="4">
        <f>1320/7*$L$2</f>
        <v>5657.1428571428578</v>
      </c>
      <c r="M11" s="4">
        <f t="shared" si="0"/>
        <v>284</v>
      </c>
      <c r="N11" s="4">
        <v>125</v>
      </c>
      <c r="O11" s="4">
        <f t="shared" si="1"/>
        <v>0</v>
      </c>
      <c r="P11" s="4">
        <f t="shared" si="2"/>
        <v>-900</v>
      </c>
      <c r="Q11">
        <f>(L11+M11+N11+O11+P11)*$L$1</f>
        <v>516.61428571428576</v>
      </c>
      <c r="R11" s="58">
        <f>L11+M11+N11+O11+P11+Q11</f>
        <v>5682.7571428571437</v>
      </c>
      <c r="S11" s="4">
        <f>IF($L$6 = 1,((R11+500)*0.039*$L$6),47)</f>
        <v>47</v>
      </c>
      <c r="T11">
        <f>R11+S11</f>
        <v>5729.7571428571437</v>
      </c>
      <c r="U11">
        <f>T11/$L$2</f>
        <v>190.99190476190478</v>
      </c>
      <c r="V11" s="60">
        <f t="shared" si="3"/>
        <v>95.495952380952389</v>
      </c>
      <c r="W11">
        <f>U11*30</f>
        <v>5729.7571428571437</v>
      </c>
      <c r="X11">
        <f>W11*0.75</f>
        <v>4297.317857142858</v>
      </c>
    </row>
    <row r="12" spans="1:29">
      <c r="B12" s="4" t="s">
        <v>43</v>
      </c>
    </row>
    <row r="13" spans="1:29">
      <c r="H13" s="4" t="s">
        <v>138</v>
      </c>
      <c r="J13" s="4" t="s">
        <v>56</v>
      </c>
    </row>
    <row r="14" spans="1:29">
      <c r="B14" s="4" t="s">
        <v>18</v>
      </c>
      <c r="C14" s="4" t="s">
        <v>38</v>
      </c>
      <c r="D14" s="4" t="s">
        <v>19</v>
      </c>
      <c r="G14" s="4" t="s">
        <v>20</v>
      </c>
      <c r="H14" s="4" t="s">
        <v>139</v>
      </c>
      <c r="I14" s="4" t="s">
        <v>21</v>
      </c>
      <c r="J14" s="4" t="s">
        <v>54</v>
      </c>
      <c r="K14" s="7" t="s">
        <v>55</v>
      </c>
      <c r="L14" s="4"/>
      <c r="N14" s="6" t="s">
        <v>22</v>
      </c>
      <c r="O14" s="6" t="s">
        <v>23</v>
      </c>
      <c r="P14" s="6" t="s">
        <v>24</v>
      </c>
      <c r="Q14" s="6" t="s">
        <v>25</v>
      </c>
      <c r="R14" s="6"/>
      <c r="S14" s="7" t="s">
        <v>26</v>
      </c>
      <c r="T14" s="6" t="s">
        <v>7</v>
      </c>
      <c r="U14" s="6" t="s">
        <v>10</v>
      </c>
      <c r="V14" s="6" t="s">
        <v>27</v>
      </c>
      <c r="W14" s="6" t="s">
        <v>28</v>
      </c>
      <c r="X14" s="6" t="s">
        <v>29</v>
      </c>
      <c r="Y14" s="6" t="s">
        <v>30</v>
      </c>
      <c r="Z14" s="6"/>
      <c r="AC14" s="6"/>
    </row>
    <row r="15" spans="1:29" s="4" customFormat="1" ht="23.25">
      <c r="A15" s="34"/>
      <c r="B15" s="31">
        <v>2010</v>
      </c>
      <c r="C15" s="32"/>
      <c r="D15" s="33"/>
      <c r="E15" s="34"/>
      <c r="F15" s="34"/>
      <c r="G15" s="33"/>
      <c r="H15" s="33"/>
      <c r="I15" s="33"/>
      <c r="J15" s="34"/>
      <c r="K15" s="35"/>
      <c r="L15" s="36"/>
      <c r="M15" s="34"/>
      <c r="N15" s="37"/>
      <c r="O15" s="37"/>
      <c r="P15" s="34"/>
      <c r="Q15" s="38"/>
      <c r="R15" s="37"/>
      <c r="S15" s="35"/>
      <c r="T15" s="37"/>
      <c r="U15" s="37"/>
      <c r="V15" s="34"/>
      <c r="W15" s="37"/>
      <c r="X15" s="37"/>
      <c r="Y15" s="37"/>
    </row>
    <row r="16" spans="1:29" ht="15.75">
      <c r="B16" s="4" t="s">
        <v>60</v>
      </c>
      <c r="C16" s="14" t="s">
        <v>47</v>
      </c>
      <c r="D16" s="4" t="s">
        <v>31</v>
      </c>
      <c r="E16" s="4">
        <f>IF(D16=$B$12,H16,0)</f>
        <v>0</v>
      </c>
      <c r="F16" s="4">
        <f>IF(E16&gt;0,0,1)</f>
        <v>1</v>
      </c>
      <c r="G16" s="4" t="s">
        <v>32</v>
      </c>
      <c r="H16" s="4">
        <v>15</v>
      </c>
      <c r="I16" s="4" t="s">
        <v>33</v>
      </c>
      <c r="J16" s="4" t="s">
        <v>57</v>
      </c>
      <c r="K16" s="7">
        <v>0</v>
      </c>
      <c r="L16" s="5" t="s">
        <v>34</v>
      </c>
      <c r="N16" s="56">
        <v>2656</v>
      </c>
      <c r="O16" s="6">
        <v>0</v>
      </c>
      <c r="P16" s="4">
        <f>(N16+500)-O16</f>
        <v>3156</v>
      </c>
      <c r="Q16" s="8" t="s">
        <v>35</v>
      </c>
      <c r="R16" s="9" t="s">
        <v>67</v>
      </c>
      <c r="S16" s="7" t="s">
        <v>26</v>
      </c>
      <c r="T16" s="6">
        <f t="shared" ref="T16:T25" si="4">P16+O16</f>
        <v>3156</v>
      </c>
      <c r="U16" s="6">
        <f>125+65</f>
        <v>190</v>
      </c>
      <c r="V16" s="4">
        <f>N16-U16</f>
        <v>2466</v>
      </c>
      <c r="W16" s="6"/>
      <c r="X16" s="6">
        <f>IF(H16&gt;0,30*F16,0)</f>
        <v>30</v>
      </c>
      <c r="Y16" s="6">
        <f>V16-X16</f>
        <v>2436</v>
      </c>
      <c r="Z16" s="4">
        <f>IF(P16&gt;0,H16,0)</f>
        <v>15</v>
      </c>
      <c r="AC16" s="6"/>
    </row>
    <row r="17" spans="2:29" ht="15.75">
      <c r="B17" s="4" t="s">
        <v>46</v>
      </c>
      <c r="C17" s="14" t="s">
        <v>42</v>
      </c>
      <c r="D17" s="4" t="s">
        <v>43</v>
      </c>
      <c r="E17" s="4">
        <f t="shared" ref="E17:E62" si="5">IF(D17=$B$12,H17,0)</f>
        <v>15</v>
      </c>
      <c r="F17" s="4">
        <f t="shared" ref="F17:F32" si="6">IF(E17&gt;0,0,1)</f>
        <v>0</v>
      </c>
      <c r="G17" s="4" t="s">
        <v>44</v>
      </c>
      <c r="H17" s="4">
        <v>15</v>
      </c>
      <c r="I17" s="4" t="s">
        <v>84</v>
      </c>
      <c r="J17" s="4" t="s">
        <v>57</v>
      </c>
      <c r="K17" s="7">
        <v>3</v>
      </c>
      <c r="L17" s="5" t="s">
        <v>37</v>
      </c>
      <c r="M17" s="4"/>
      <c r="N17" s="56">
        <v>0</v>
      </c>
      <c r="O17" s="6">
        <v>0</v>
      </c>
      <c r="P17" s="4">
        <v>0</v>
      </c>
      <c r="Q17" s="8" t="s">
        <v>43</v>
      </c>
      <c r="R17" s="6"/>
      <c r="S17" s="7" t="s">
        <v>43</v>
      </c>
      <c r="T17" s="6">
        <f t="shared" si="4"/>
        <v>0</v>
      </c>
      <c r="U17" s="6">
        <v>0</v>
      </c>
      <c r="V17" s="4">
        <f t="shared" ref="V17:V47" si="7">N17-U17</f>
        <v>0</v>
      </c>
      <c r="W17" s="6"/>
      <c r="X17" s="6">
        <f t="shared" ref="X17:X32" si="8">IF(H17&gt;0,30*F17,0)</f>
        <v>0</v>
      </c>
      <c r="Y17" s="6">
        <f>V17-X17</f>
        <v>0</v>
      </c>
      <c r="Z17" s="4">
        <f>IF(P17&gt;0,H17,0)+Z16</f>
        <v>15</v>
      </c>
      <c r="AC17" s="4"/>
    </row>
    <row r="18" spans="2:29" ht="15.75">
      <c r="B18" s="4" t="s">
        <v>39</v>
      </c>
      <c r="C18" s="14" t="s">
        <v>48</v>
      </c>
      <c r="D18" s="4" t="s">
        <v>31</v>
      </c>
      <c r="E18" s="4">
        <f t="shared" si="5"/>
        <v>0</v>
      </c>
      <c r="F18" s="4">
        <f t="shared" si="6"/>
        <v>1</v>
      </c>
      <c r="G18" s="4" t="s">
        <v>40</v>
      </c>
      <c r="H18" s="4">
        <v>7</v>
      </c>
      <c r="I18" s="4" t="s">
        <v>41</v>
      </c>
      <c r="J18" s="4" t="s">
        <v>57</v>
      </c>
      <c r="K18" s="7">
        <v>0</v>
      </c>
      <c r="L18" s="5" t="s">
        <v>37</v>
      </c>
      <c r="M18" s="4"/>
      <c r="N18" s="56">
        <v>1622</v>
      </c>
      <c r="O18" s="6">
        <v>0</v>
      </c>
      <c r="P18" s="4">
        <f t="shared" ref="P18:P48" si="9">(N18+500)-O18</f>
        <v>2122</v>
      </c>
      <c r="Q18" s="8" t="s">
        <v>35</v>
      </c>
      <c r="R18" s="6" t="s">
        <v>68</v>
      </c>
      <c r="S18" s="7" t="s">
        <v>26</v>
      </c>
      <c r="T18" s="6">
        <f t="shared" si="4"/>
        <v>2122</v>
      </c>
      <c r="U18" s="6">
        <v>125</v>
      </c>
      <c r="V18" s="4">
        <f t="shared" si="7"/>
        <v>1497</v>
      </c>
      <c r="W18" s="6"/>
      <c r="X18" s="6">
        <f t="shared" si="8"/>
        <v>30</v>
      </c>
      <c r="Y18" s="6">
        <f t="shared" ref="Y18:Y47" si="10">V18-X18</f>
        <v>1467</v>
      </c>
      <c r="Z18" s="4">
        <f t="shared" ref="Z18:Z32" si="11">IF(P18&gt;0,H18,0)+Z17</f>
        <v>22</v>
      </c>
      <c r="AC18" s="4"/>
    </row>
    <row r="19" spans="2:29" ht="15.75">
      <c r="B19" s="4"/>
      <c r="C19" s="14"/>
      <c r="E19" s="4">
        <f t="shared" si="5"/>
        <v>0</v>
      </c>
      <c r="F19" s="4">
        <f t="shared" si="6"/>
        <v>1</v>
      </c>
      <c r="L19" s="5"/>
      <c r="M19" s="4"/>
      <c r="N19" s="56"/>
      <c r="O19" s="6"/>
      <c r="P19" s="4">
        <f t="shared" si="9"/>
        <v>500</v>
      </c>
      <c r="Q19" s="8"/>
      <c r="R19" s="6"/>
      <c r="S19" s="7"/>
      <c r="T19" s="6">
        <f t="shared" si="4"/>
        <v>500</v>
      </c>
      <c r="U19" s="6">
        <v>0</v>
      </c>
      <c r="V19" s="4">
        <f t="shared" si="7"/>
        <v>0</v>
      </c>
      <c r="W19" s="6"/>
      <c r="X19" s="6">
        <f t="shared" si="8"/>
        <v>0</v>
      </c>
      <c r="Y19" s="6">
        <f t="shared" si="10"/>
        <v>0</v>
      </c>
      <c r="Z19" s="4">
        <f t="shared" si="11"/>
        <v>22</v>
      </c>
      <c r="AC19" s="4">
        <f>1296+500</f>
        <v>1796</v>
      </c>
    </row>
    <row r="20" spans="2:29">
      <c r="B20" s="19" t="s">
        <v>61</v>
      </c>
      <c r="C20" s="19" t="s">
        <v>62</v>
      </c>
      <c r="D20" s="19" t="s">
        <v>63</v>
      </c>
      <c r="E20" s="4">
        <f t="shared" si="5"/>
        <v>0</v>
      </c>
      <c r="F20" s="4">
        <f t="shared" si="6"/>
        <v>1</v>
      </c>
      <c r="G20" s="19" t="s">
        <v>64</v>
      </c>
      <c r="H20" s="19">
        <v>14</v>
      </c>
      <c r="I20" s="19" t="s">
        <v>65</v>
      </c>
      <c r="J20" s="4" t="s">
        <v>57</v>
      </c>
      <c r="K20" s="7">
        <v>3</v>
      </c>
      <c r="L20" s="5" t="s">
        <v>37</v>
      </c>
      <c r="M20" s="4"/>
      <c r="N20" s="56">
        <v>2796</v>
      </c>
      <c r="O20" s="6">
        <v>1118</v>
      </c>
      <c r="P20" s="4">
        <f t="shared" si="9"/>
        <v>2178</v>
      </c>
      <c r="Q20" s="8" t="s">
        <v>74</v>
      </c>
      <c r="R20" s="6" t="s">
        <v>72</v>
      </c>
      <c r="S20" s="7" t="s">
        <v>144</v>
      </c>
      <c r="T20" s="6">
        <f t="shared" si="4"/>
        <v>3296</v>
      </c>
      <c r="U20" s="6">
        <v>150</v>
      </c>
      <c r="V20" s="4">
        <f t="shared" si="7"/>
        <v>2646</v>
      </c>
      <c r="W20" s="6"/>
      <c r="X20" s="6">
        <f t="shared" si="8"/>
        <v>30</v>
      </c>
      <c r="Y20" s="6">
        <f t="shared" si="10"/>
        <v>2616</v>
      </c>
      <c r="Z20" s="4">
        <f t="shared" si="11"/>
        <v>36</v>
      </c>
      <c r="AC20" s="4"/>
    </row>
    <row r="21" spans="2:29">
      <c r="B21" s="19" t="s">
        <v>101</v>
      </c>
      <c r="C21" s="4" t="s">
        <v>100</v>
      </c>
      <c r="D21" s="19" t="s">
        <v>102</v>
      </c>
      <c r="E21" s="4">
        <f t="shared" si="5"/>
        <v>0</v>
      </c>
      <c r="F21" s="4">
        <f t="shared" si="6"/>
        <v>1</v>
      </c>
      <c r="G21" s="19" t="s">
        <v>104</v>
      </c>
      <c r="H21" s="19">
        <v>7</v>
      </c>
      <c r="I21" s="19" t="s">
        <v>103</v>
      </c>
      <c r="J21" s="4" t="s">
        <v>57</v>
      </c>
      <c r="K21" s="7">
        <v>0</v>
      </c>
      <c r="L21" s="5" t="s">
        <v>37</v>
      </c>
      <c r="M21" s="4"/>
      <c r="N21" s="56">
        <v>1200</v>
      </c>
      <c r="O21" s="6">
        <f>N21*0.4</f>
        <v>480</v>
      </c>
      <c r="P21" s="4">
        <f t="shared" si="9"/>
        <v>1220</v>
      </c>
      <c r="Q21" s="8" t="s">
        <v>105</v>
      </c>
      <c r="R21" s="6" t="s">
        <v>72</v>
      </c>
      <c r="S21" s="7" t="s">
        <v>156</v>
      </c>
      <c r="T21" s="6">
        <f t="shared" si="4"/>
        <v>1700</v>
      </c>
      <c r="U21" s="6">
        <v>150</v>
      </c>
      <c r="V21" s="4">
        <f t="shared" si="7"/>
        <v>1050</v>
      </c>
      <c r="W21" s="6"/>
      <c r="X21" s="6">
        <f t="shared" si="8"/>
        <v>30</v>
      </c>
      <c r="Y21" s="6">
        <f t="shared" si="10"/>
        <v>1020</v>
      </c>
      <c r="Z21" s="4">
        <f t="shared" si="11"/>
        <v>43</v>
      </c>
      <c r="AC21" s="4"/>
    </row>
    <row r="22" spans="2:29">
      <c r="B22" s="19" t="s">
        <v>79</v>
      </c>
      <c r="C22" s="19" t="s">
        <v>81</v>
      </c>
      <c r="D22" s="19"/>
      <c r="E22" s="4">
        <f t="shared" si="5"/>
        <v>0</v>
      </c>
      <c r="F22" s="4">
        <f t="shared" si="6"/>
        <v>1</v>
      </c>
      <c r="G22" s="19" t="s">
        <v>80</v>
      </c>
      <c r="H22" s="19">
        <v>11</v>
      </c>
      <c r="I22" s="19" t="s">
        <v>82</v>
      </c>
      <c r="J22" s="4" t="s">
        <v>57</v>
      </c>
      <c r="K22" s="7">
        <v>0</v>
      </c>
      <c r="L22" s="5" t="s">
        <v>37</v>
      </c>
      <c r="M22" s="4"/>
      <c r="N22" s="56">
        <f>1819+71</f>
        <v>1890</v>
      </c>
      <c r="O22" s="6">
        <f>2390*0.4</f>
        <v>956</v>
      </c>
      <c r="P22" s="4">
        <f t="shared" si="9"/>
        <v>1434</v>
      </c>
      <c r="Q22" s="8" t="s">
        <v>83</v>
      </c>
      <c r="R22" s="3" t="s">
        <v>16</v>
      </c>
      <c r="S22" s="7" t="s">
        <v>156</v>
      </c>
      <c r="T22" s="6">
        <f t="shared" si="4"/>
        <v>2390</v>
      </c>
      <c r="U22" s="6">
        <v>150</v>
      </c>
      <c r="V22" s="4">
        <f t="shared" si="7"/>
        <v>1740</v>
      </c>
      <c r="W22" s="6"/>
      <c r="X22" s="6">
        <f t="shared" si="8"/>
        <v>30</v>
      </c>
      <c r="Y22" s="6">
        <f t="shared" si="10"/>
        <v>1710</v>
      </c>
      <c r="Z22" s="4">
        <f t="shared" si="11"/>
        <v>54</v>
      </c>
      <c r="AC22" s="4"/>
    </row>
    <row r="23" spans="2:29">
      <c r="B23" s="19" t="s">
        <v>129</v>
      </c>
      <c r="C23" s="4" t="s">
        <v>128</v>
      </c>
      <c r="D23" s="19" t="s">
        <v>31</v>
      </c>
      <c r="E23" s="4">
        <f t="shared" si="5"/>
        <v>0</v>
      </c>
      <c r="F23" s="4">
        <f t="shared" si="6"/>
        <v>1</v>
      </c>
      <c r="G23" s="19" t="s">
        <v>130</v>
      </c>
      <c r="H23" s="19">
        <v>7</v>
      </c>
      <c r="I23" s="19" t="s">
        <v>126</v>
      </c>
      <c r="J23" s="4" t="s">
        <v>57</v>
      </c>
      <c r="K23" s="7">
        <v>0</v>
      </c>
      <c r="L23" s="5" t="s">
        <v>37</v>
      </c>
      <c r="M23" s="4"/>
      <c r="N23" s="56">
        <v>1202</v>
      </c>
      <c r="O23" s="6">
        <v>681</v>
      </c>
      <c r="P23" s="4">
        <f t="shared" si="9"/>
        <v>1021</v>
      </c>
      <c r="Q23" s="8" t="s">
        <v>131</v>
      </c>
      <c r="R23" s="3" t="s">
        <v>16</v>
      </c>
      <c r="S23" s="7" t="s">
        <v>196</v>
      </c>
      <c r="T23" s="6">
        <f t="shared" si="4"/>
        <v>1702</v>
      </c>
      <c r="U23" s="6">
        <v>150</v>
      </c>
      <c r="V23" s="4">
        <f t="shared" si="7"/>
        <v>1052</v>
      </c>
      <c r="W23" s="6"/>
      <c r="X23" s="6">
        <f t="shared" si="8"/>
        <v>30</v>
      </c>
      <c r="Y23" s="6">
        <f t="shared" si="10"/>
        <v>1022</v>
      </c>
      <c r="Z23" s="4">
        <f t="shared" si="11"/>
        <v>61</v>
      </c>
      <c r="AC23" s="4"/>
    </row>
    <row r="24" spans="2:29" ht="18" customHeight="1">
      <c r="B24" s="19" t="s">
        <v>49</v>
      </c>
      <c r="C24" s="4" t="s">
        <v>50</v>
      </c>
      <c r="D24" s="19" t="s">
        <v>31</v>
      </c>
      <c r="E24" s="4">
        <f t="shared" si="5"/>
        <v>0</v>
      </c>
      <c r="F24" s="4">
        <f t="shared" si="6"/>
        <v>1</v>
      </c>
      <c r="G24" s="19" t="s">
        <v>51</v>
      </c>
      <c r="H24" s="19">
        <v>7</v>
      </c>
      <c r="I24" s="19" t="s">
        <v>66</v>
      </c>
      <c r="J24" s="4" t="s">
        <v>57</v>
      </c>
      <c r="K24" s="7">
        <v>0</v>
      </c>
      <c r="L24" s="5" t="s">
        <v>37</v>
      </c>
      <c r="M24" s="4"/>
      <c r="N24" s="56">
        <v>1600</v>
      </c>
      <c r="O24" s="6">
        <v>840</v>
      </c>
      <c r="P24" s="4">
        <f t="shared" si="9"/>
        <v>1260</v>
      </c>
      <c r="Q24" s="8" t="s">
        <v>108</v>
      </c>
      <c r="R24" s="6" t="s">
        <v>67</v>
      </c>
      <c r="S24" s="7" t="s">
        <v>203</v>
      </c>
      <c r="T24" s="6">
        <f t="shared" si="4"/>
        <v>2100</v>
      </c>
      <c r="U24" s="6">
        <v>150</v>
      </c>
      <c r="V24" s="4">
        <f t="shared" si="7"/>
        <v>1450</v>
      </c>
      <c r="W24" s="6"/>
      <c r="X24" s="6">
        <f t="shared" si="8"/>
        <v>30</v>
      </c>
      <c r="Y24" s="6">
        <f t="shared" si="10"/>
        <v>1420</v>
      </c>
      <c r="Z24" s="4">
        <f t="shared" si="11"/>
        <v>68</v>
      </c>
      <c r="AC24" s="4"/>
    </row>
    <row r="25" spans="2:29">
      <c r="B25" s="19" t="s">
        <v>85</v>
      </c>
      <c r="C25" s="4" t="s">
        <v>86</v>
      </c>
      <c r="D25" s="19" t="s">
        <v>31</v>
      </c>
      <c r="E25" s="4">
        <f t="shared" si="5"/>
        <v>0</v>
      </c>
      <c r="F25" s="4">
        <f t="shared" si="6"/>
        <v>1</v>
      </c>
      <c r="G25" s="19" t="s">
        <v>87</v>
      </c>
      <c r="H25" s="19">
        <v>14</v>
      </c>
      <c r="I25" s="19" t="s">
        <v>88</v>
      </c>
      <c r="J25" s="4" t="s">
        <v>57</v>
      </c>
      <c r="K25" s="7">
        <v>0</v>
      </c>
      <c r="L25" s="5" t="s">
        <v>37</v>
      </c>
      <c r="M25" s="4"/>
      <c r="N25" s="56">
        <v>2234</v>
      </c>
      <c r="O25" s="6">
        <v>894</v>
      </c>
      <c r="P25" s="4">
        <f t="shared" si="9"/>
        <v>1840</v>
      </c>
      <c r="Q25" s="8" t="s">
        <v>89</v>
      </c>
      <c r="R25" s="3" t="s">
        <v>16</v>
      </c>
      <c r="S25" s="7" t="s">
        <v>196</v>
      </c>
      <c r="T25" s="6">
        <f t="shared" si="4"/>
        <v>2734</v>
      </c>
      <c r="U25" s="6">
        <v>150</v>
      </c>
      <c r="V25" s="4">
        <f t="shared" si="7"/>
        <v>2084</v>
      </c>
      <c r="W25" s="6"/>
      <c r="X25" s="6">
        <f t="shared" si="8"/>
        <v>30</v>
      </c>
      <c r="Y25" s="6">
        <f t="shared" si="10"/>
        <v>2054</v>
      </c>
      <c r="Z25" s="4">
        <f t="shared" si="11"/>
        <v>82</v>
      </c>
      <c r="AC25" s="4"/>
    </row>
    <row r="26" spans="2:29" s="4" customFormat="1">
      <c r="B26" s="4" t="s">
        <v>170</v>
      </c>
      <c r="C26" s="20" t="s">
        <v>146</v>
      </c>
      <c r="D26" s="19" t="s">
        <v>63</v>
      </c>
      <c r="E26" s="4">
        <f t="shared" si="5"/>
        <v>0</v>
      </c>
      <c r="F26" s="4">
        <f t="shared" si="6"/>
        <v>1</v>
      </c>
      <c r="G26" s="4" t="s">
        <v>149</v>
      </c>
      <c r="H26" s="19">
        <v>9</v>
      </c>
      <c r="I26" s="19" t="s">
        <v>82</v>
      </c>
      <c r="J26" s="19" t="s">
        <v>57</v>
      </c>
      <c r="K26" s="7">
        <v>0</v>
      </c>
      <c r="L26" s="5" t="s">
        <v>37</v>
      </c>
      <c r="N26" s="56">
        <v>1632</v>
      </c>
      <c r="O26" s="6">
        <v>653</v>
      </c>
      <c r="P26" s="4">
        <f t="shared" si="9"/>
        <v>1479</v>
      </c>
      <c r="Q26" s="8" t="s">
        <v>148</v>
      </c>
      <c r="R26" s="3" t="s">
        <v>16</v>
      </c>
      <c r="S26" s="7" t="s">
        <v>204</v>
      </c>
      <c r="T26" s="6">
        <f>P26+O26</f>
        <v>2132</v>
      </c>
      <c r="U26" s="6">
        <v>150</v>
      </c>
      <c r="V26" s="4">
        <f t="shared" si="7"/>
        <v>1482</v>
      </c>
      <c r="W26" s="6"/>
      <c r="X26" s="6">
        <f t="shared" si="8"/>
        <v>30</v>
      </c>
      <c r="Y26" s="6">
        <f t="shared" si="10"/>
        <v>1452</v>
      </c>
      <c r="Z26" s="4">
        <f t="shared" si="11"/>
        <v>91</v>
      </c>
    </row>
    <row r="27" spans="2:29" s="4" customFormat="1">
      <c r="B27" s="19" t="s">
        <v>122</v>
      </c>
      <c r="C27" s="4" t="s">
        <v>127</v>
      </c>
      <c r="D27" s="19" t="s">
        <v>43</v>
      </c>
      <c r="E27" s="4">
        <f t="shared" si="5"/>
        <v>6</v>
      </c>
      <c r="F27" s="4">
        <f t="shared" si="6"/>
        <v>0</v>
      </c>
      <c r="G27" s="4" t="s">
        <v>140</v>
      </c>
      <c r="H27" s="19">
        <v>6</v>
      </c>
      <c r="I27" s="19" t="s">
        <v>126</v>
      </c>
      <c r="J27" s="4" t="s">
        <v>57</v>
      </c>
      <c r="K27" s="7">
        <v>0</v>
      </c>
      <c r="L27" s="5" t="s">
        <v>37</v>
      </c>
      <c r="N27" s="56">
        <v>0</v>
      </c>
      <c r="O27" s="6">
        <v>0</v>
      </c>
      <c r="P27" s="4">
        <v>0</v>
      </c>
      <c r="Q27" s="8" t="s">
        <v>43</v>
      </c>
      <c r="R27" s="3"/>
      <c r="S27" s="7" t="s">
        <v>43</v>
      </c>
      <c r="T27" s="6">
        <f t="shared" ref="T27:T61" si="12">P27+O27</f>
        <v>0</v>
      </c>
      <c r="U27" s="6">
        <v>150</v>
      </c>
      <c r="V27" s="4">
        <f t="shared" si="7"/>
        <v>-150</v>
      </c>
      <c r="W27" s="6"/>
      <c r="X27" s="6">
        <f t="shared" si="8"/>
        <v>0</v>
      </c>
      <c r="Y27" s="6">
        <f t="shared" si="10"/>
        <v>-150</v>
      </c>
      <c r="Z27" s="4">
        <f t="shared" si="11"/>
        <v>91</v>
      </c>
    </row>
    <row r="28" spans="2:29" s="4" customFormat="1">
      <c r="B28" s="19" t="s">
        <v>90</v>
      </c>
      <c r="C28" s="10" t="s">
        <v>42</v>
      </c>
      <c r="D28" s="19" t="s">
        <v>43</v>
      </c>
      <c r="E28" s="4">
        <f t="shared" si="5"/>
        <v>2</v>
      </c>
      <c r="F28" s="4">
        <f t="shared" si="6"/>
        <v>0</v>
      </c>
      <c r="G28" s="4" t="s">
        <v>150</v>
      </c>
      <c r="H28" s="19">
        <v>2</v>
      </c>
      <c r="I28" s="19" t="s">
        <v>107</v>
      </c>
      <c r="J28" s="4" t="s">
        <v>57</v>
      </c>
      <c r="K28" s="7">
        <v>0</v>
      </c>
      <c r="L28" s="5" t="s">
        <v>37</v>
      </c>
      <c r="N28" s="56"/>
      <c r="O28" s="6"/>
      <c r="Q28" s="8"/>
      <c r="R28" s="3"/>
      <c r="S28" s="7"/>
      <c r="T28" s="6">
        <f t="shared" si="12"/>
        <v>0</v>
      </c>
      <c r="U28" s="6">
        <v>150</v>
      </c>
      <c r="V28" s="4">
        <f t="shared" si="7"/>
        <v>-150</v>
      </c>
      <c r="W28" s="6"/>
      <c r="X28" s="6">
        <f t="shared" si="8"/>
        <v>0</v>
      </c>
      <c r="Y28" s="6">
        <f t="shared" si="10"/>
        <v>-150</v>
      </c>
      <c r="Z28" s="4">
        <f t="shared" si="11"/>
        <v>91</v>
      </c>
    </row>
    <row r="29" spans="2:29">
      <c r="B29" s="19" t="s">
        <v>117</v>
      </c>
      <c r="C29" s="19" t="s">
        <v>118</v>
      </c>
      <c r="D29" s="19" t="s">
        <v>63</v>
      </c>
      <c r="E29" s="4">
        <f t="shared" si="5"/>
        <v>0</v>
      </c>
      <c r="F29" s="4">
        <f t="shared" si="6"/>
        <v>1</v>
      </c>
      <c r="G29" s="19" t="s">
        <v>119</v>
      </c>
      <c r="H29" s="19">
        <v>7</v>
      </c>
      <c r="I29" s="19" t="s">
        <v>120</v>
      </c>
      <c r="J29" s="4" t="s">
        <v>57</v>
      </c>
      <c r="K29" s="7">
        <v>0</v>
      </c>
      <c r="L29" s="5" t="s">
        <v>37</v>
      </c>
      <c r="M29" s="4"/>
      <c r="N29" s="56">
        <v>1431</v>
      </c>
      <c r="O29" s="6">
        <v>544</v>
      </c>
      <c r="P29" s="4">
        <f t="shared" si="9"/>
        <v>1387</v>
      </c>
      <c r="Q29" s="8" t="s">
        <v>121</v>
      </c>
      <c r="R29" s="3" t="s">
        <v>16</v>
      </c>
      <c r="S29" s="4" t="s">
        <v>196</v>
      </c>
      <c r="T29" s="6">
        <f t="shared" si="12"/>
        <v>1931</v>
      </c>
      <c r="U29" s="6">
        <v>150</v>
      </c>
      <c r="V29" s="4">
        <f t="shared" si="7"/>
        <v>1281</v>
      </c>
      <c r="W29" s="6"/>
      <c r="X29" s="6">
        <f t="shared" si="8"/>
        <v>30</v>
      </c>
      <c r="Y29" s="6">
        <f t="shared" si="10"/>
        <v>1251</v>
      </c>
      <c r="Z29" s="4">
        <f t="shared" si="11"/>
        <v>98</v>
      </c>
      <c r="AC29" s="4"/>
    </row>
    <row r="30" spans="2:29" s="4" customFormat="1">
      <c r="B30" s="19" t="s">
        <v>207</v>
      </c>
      <c r="C30" s="4" t="s">
        <v>206</v>
      </c>
      <c r="D30" s="19"/>
      <c r="G30" s="4" t="s">
        <v>212</v>
      </c>
      <c r="H30" s="19">
        <v>8</v>
      </c>
      <c r="I30" s="19" t="s">
        <v>208</v>
      </c>
      <c r="J30" s="4" t="s">
        <v>57</v>
      </c>
      <c r="K30" s="7">
        <v>0</v>
      </c>
      <c r="L30" s="5" t="s">
        <v>37</v>
      </c>
      <c r="N30" s="56">
        <v>1296</v>
      </c>
      <c r="O30" s="6">
        <v>527</v>
      </c>
      <c r="P30" s="4">
        <f>IF(N30&gt;0,((N30+500)-O30),0)</f>
        <v>1269</v>
      </c>
      <c r="Q30" s="8" t="s">
        <v>186</v>
      </c>
      <c r="R30" s="3" t="s">
        <v>16</v>
      </c>
      <c r="S30" s="7" t="s">
        <v>195</v>
      </c>
      <c r="T30" s="6">
        <f t="shared" si="12"/>
        <v>1796</v>
      </c>
      <c r="U30" s="6">
        <v>150</v>
      </c>
      <c r="V30" s="4">
        <f t="shared" ref="V30" si="13">N30-U30</f>
        <v>1146</v>
      </c>
      <c r="W30" s="6"/>
      <c r="X30" s="6">
        <v>50</v>
      </c>
      <c r="Y30" s="6">
        <f t="shared" ref="Y30" si="14">V30-X30</f>
        <v>1096</v>
      </c>
      <c r="Z30" s="4">
        <f t="shared" si="11"/>
        <v>106</v>
      </c>
    </row>
    <row r="31" spans="2:29" s="4" customFormat="1">
      <c r="B31" s="10" t="s">
        <v>194</v>
      </c>
      <c r="C31" s="4" t="s">
        <v>184</v>
      </c>
      <c r="D31" s="19" t="s">
        <v>185</v>
      </c>
      <c r="E31" s="4">
        <f t="shared" si="5"/>
        <v>0</v>
      </c>
      <c r="F31" s="4">
        <f t="shared" si="6"/>
        <v>1</v>
      </c>
      <c r="G31" s="4" t="s">
        <v>189</v>
      </c>
      <c r="H31" s="19">
        <v>7</v>
      </c>
      <c r="I31" s="19" t="s">
        <v>65</v>
      </c>
      <c r="J31" s="4" t="s">
        <v>57</v>
      </c>
      <c r="K31" s="7">
        <v>0</v>
      </c>
      <c r="L31" s="5" t="s">
        <v>37</v>
      </c>
      <c r="N31" s="56">
        <v>1317</v>
      </c>
      <c r="O31" s="6">
        <v>527</v>
      </c>
      <c r="P31" s="4">
        <f>IF(N31&gt;0,((N31+500)-O31),0)</f>
        <v>1290</v>
      </c>
      <c r="Q31" s="8" t="s">
        <v>186</v>
      </c>
      <c r="R31" s="3" t="s">
        <v>16</v>
      </c>
      <c r="S31" s="7" t="s">
        <v>195</v>
      </c>
      <c r="T31" s="6">
        <f t="shared" ref="T31" si="15">P31+O31</f>
        <v>1817</v>
      </c>
      <c r="U31" s="6">
        <f>IF(H31&gt;0,150,0)</f>
        <v>150</v>
      </c>
      <c r="V31" s="4">
        <f t="shared" si="7"/>
        <v>1167</v>
      </c>
      <c r="W31" s="6"/>
      <c r="X31" s="6">
        <f t="shared" si="8"/>
        <v>30</v>
      </c>
      <c r="Y31" s="6">
        <f t="shared" si="10"/>
        <v>1137</v>
      </c>
      <c r="Z31" s="4">
        <f t="shared" si="11"/>
        <v>113</v>
      </c>
    </row>
    <row r="32" spans="2:29" s="4" customFormat="1">
      <c r="B32" s="19" t="s">
        <v>90</v>
      </c>
      <c r="C32" s="10" t="s">
        <v>42</v>
      </c>
      <c r="D32" s="19" t="s">
        <v>43</v>
      </c>
      <c r="E32" s="4">
        <f t="shared" si="5"/>
        <v>4</v>
      </c>
      <c r="F32" s="4">
        <f t="shared" si="6"/>
        <v>0</v>
      </c>
      <c r="G32" s="4" t="s">
        <v>190</v>
      </c>
      <c r="H32" s="19">
        <v>4</v>
      </c>
      <c r="I32" s="19" t="s">
        <v>91</v>
      </c>
      <c r="J32" s="4" t="s">
        <v>57</v>
      </c>
      <c r="K32" s="7">
        <v>3</v>
      </c>
      <c r="L32" s="5" t="s">
        <v>37</v>
      </c>
      <c r="N32" s="56">
        <v>0</v>
      </c>
      <c r="O32" s="6">
        <v>0</v>
      </c>
      <c r="P32" s="4">
        <v>0</v>
      </c>
      <c r="Q32" s="8"/>
      <c r="R32" s="6"/>
      <c r="S32" s="7" t="s">
        <v>43</v>
      </c>
      <c r="T32" s="6">
        <f t="shared" si="12"/>
        <v>0</v>
      </c>
      <c r="U32" s="6">
        <f>IF(H32&gt;0,150,0)</f>
        <v>150</v>
      </c>
      <c r="V32" s="4">
        <f t="shared" ref="V32" si="16">N32-U32</f>
        <v>-150</v>
      </c>
      <c r="W32" s="6"/>
      <c r="X32" s="6">
        <f t="shared" si="8"/>
        <v>0</v>
      </c>
      <c r="Y32" s="6">
        <f t="shared" si="10"/>
        <v>-150</v>
      </c>
      <c r="Z32" s="4">
        <f t="shared" si="11"/>
        <v>113</v>
      </c>
    </row>
    <row r="33" spans="1:30" s="4" customFormat="1">
      <c r="A33" s="48"/>
      <c r="B33" s="49"/>
      <c r="C33" s="50"/>
      <c r="D33" s="49"/>
      <c r="E33" s="48"/>
      <c r="F33" s="48"/>
      <c r="G33" s="49"/>
      <c r="H33" s="49">
        <f>Z32</f>
        <v>113</v>
      </c>
      <c r="I33" s="54" t="s">
        <v>214</v>
      </c>
      <c r="J33" s="48">
        <f>H33/7</f>
        <v>16.142857142857142</v>
      </c>
      <c r="K33" s="54" t="s">
        <v>215</v>
      </c>
      <c r="L33" s="52">
        <f>Y33/J33</f>
        <v>1129.353982300885</v>
      </c>
      <c r="M33" s="48"/>
      <c r="N33" s="53">
        <f>SUM(N16:N32)</f>
        <v>20876</v>
      </c>
      <c r="O33" s="54"/>
      <c r="P33" s="48"/>
      <c r="Q33" s="55"/>
      <c r="R33" s="54"/>
      <c r="S33" s="51"/>
      <c r="T33" s="54"/>
      <c r="U33" s="54"/>
      <c r="V33" s="48"/>
      <c r="W33" s="54"/>
      <c r="X33" s="54"/>
      <c r="Y33" s="53">
        <f>SUM(Y16:Y32)</f>
        <v>18231</v>
      </c>
    </row>
    <row r="34" spans="1:30" s="4" customFormat="1" ht="23.25">
      <c r="A34" s="34"/>
      <c r="B34" s="31">
        <v>2011</v>
      </c>
      <c r="C34" s="32"/>
      <c r="D34" s="33"/>
      <c r="E34" s="34">
        <f t="shared" si="5"/>
        <v>0</v>
      </c>
      <c r="F34" s="34"/>
      <c r="G34" s="33"/>
      <c r="H34" s="33"/>
      <c r="I34" s="33"/>
      <c r="J34" s="34"/>
      <c r="K34" s="35"/>
      <c r="L34" s="36"/>
      <c r="M34" s="34"/>
      <c r="N34" s="37"/>
      <c r="O34" s="37"/>
      <c r="P34" s="34"/>
      <c r="Q34" s="38"/>
      <c r="R34" s="37"/>
      <c r="S34" s="35"/>
      <c r="T34" s="37"/>
      <c r="U34" s="37"/>
      <c r="V34" s="34"/>
      <c r="W34" s="37"/>
      <c r="X34" s="37"/>
      <c r="Y34" s="37"/>
    </row>
    <row r="35" spans="1:30" s="4" customFormat="1">
      <c r="B35" s="19" t="s">
        <v>90</v>
      </c>
      <c r="C35" s="10" t="s">
        <v>42</v>
      </c>
      <c r="D35" s="19" t="s">
        <v>43</v>
      </c>
      <c r="E35" s="4">
        <f t="shared" si="5"/>
        <v>58</v>
      </c>
      <c r="F35" s="4">
        <f t="shared" ref="F35:F62" si="17">IF(E35&gt;0,0,1)</f>
        <v>0</v>
      </c>
      <c r="G35" s="19" t="s">
        <v>106</v>
      </c>
      <c r="H35" s="19">
        <v>58</v>
      </c>
      <c r="I35" s="19" t="s">
        <v>91</v>
      </c>
      <c r="J35" s="4" t="s">
        <v>57</v>
      </c>
      <c r="K35" s="7">
        <v>3</v>
      </c>
      <c r="L35" s="5" t="s">
        <v>112</v>
      </c>
      <c r="N35" s="56"/>
      <c r="O35" s="6"/>
      <c r="P35" s="4">
        <v>0</v>
      </c>
      <c r="Q35" s="8"/>
      <c r="R35" s="6"/>
      <c r="S35" s="7" t="s">
        <v>43</v>
      </c>
      <c r="T35" s="6">
        <f t="shared" si="12"/>
        <v>0</v>
      </c>
      <c r="U35" s="6">
        <f>150*5</f>
        <v>750</v>
      </c>
      <c r="V35" s="4">
        <f t="shared" si="7"/>
        <v>-750</v>
      </c>
      <c r="W35" s="6"/>
      <c r="X35" s="6">
        <f t="shared" ref="X35:X62" si="18">IF(H35&gt;0,30*F35,0)</f>
        <v>0</v>
      </c>
      <c r="Y35" s="6">
        <f>-((125+40)*4)</f>
        <v>-660</v>
      </c>
      <c r="Z35" s="4">
        <f>IF(P35&gt;0,H35,0)</f>
        <v>0</v>
      </c>
    </row>
    <row r="36" spans="1:30">
      <c r="B36" s="62" t="s">
        <v>179</v>
      </c>
      <c r="C36" s="4" t="s">
        <v>180</v>
      </c>
      <c r="D36" s="19" t="s">
        <v>43</v>
      </c>
      <c r="E36" s="4">
        <f t="shared" si="5"/>
        <v>7</v>
      </c>
      <c r="F36" s="4">
        <f t="shared" si="17"/>
        <v>0</v>
      </c>
      <c r="G36" s="10" t="s">
        <v>178</v>
      </c>
      <c r="H36" s="19">
        <v>7</v>
      </c>
      <c r="I36" s="19" t="s">
        <v>91</v>
      </c>
      <c r="J36" s="4" t="s">
        <v>57</v>
      </c>
      <c r="K36" s="7">
        <v>0</v>
      </c>
      <c r="L36" s="5" t="s">
        <v>37</v>
      </c>
      <c r="M36" s="4"/>
      <c r="N36" s="56">
        <v>1317</v>
      </c>
      <c r="O36" s="6">
        <v>527</v>
      </c>
      <c r="P36" s="4">
        <f t="shared" ref="P36:P37" si="19">(N36+500)-O36</f>
        <v>1290</v>
      </c>
      <c r="Q36" s="8" t="s">
        <v>181</v>
      </c>
      <c r="R36" s="3" t="s">
        <v>16</v>
      </c>
      <c r="S36" s="7" t="s">
        <v>205</v>
      </c>
      <c r="T36" s="6">
        <f t="shared" si="12"/>
        <v>1817</v>
      </c>
      <c r="U36" s="6">
        <v>150</v>
      </c>
      <c r="V36" s="4">
        <f t="shared" si="7"/>
        <v>1167</v>
      </c>
      <c r="W36" s="6"/>
      <c r="X36" s="6">
        <f t="shared" si="18"/>
        <v>0</v>
      </c>
      <c r="Y36" s="6">
        <f t="shared" si="10"/>
        <v>1167</v>
      </c>
      <c r="Z36" s="4">
        <f>IF(P36&gt;0,H36,0)+Z35</f>
        <v>7</v>
      </c>
      <c r="AC36" s="4"/>
    </row>
    <row r="37" spans="1:30" s="4" customFormat="1">
      <c r="B37" s="20" t="s">
        <v>95</v>
      </c>
      <c r="C37" s="20" t="s">
        <v>94</v>
      </c>
      <c r="D37" s="19" t="s">
        <v>31</v>
      </c>
      <c r="E37" s="4">
        <f t="shared" si="5"/>
        <v>0</v>
      </c>
      <c r="F37" s="4">
        <f t="shared" si="17"/>
        <v>1</v>
      </c>
      <c r="G37" s="19" t="s">
        <v>96</v>
      </c>
      <c r="H37" s="19">
        <v>7</v>
      </c>
      <c r="I37" s="19" t="s">
        <v>36</v>
      </c>
      <c r="J37" s="4" t="s">
        <v>57</v>
      </c>
      <c r="K37" s="7">
        <v>0</v>
      </c>
      <c r="L37" s="5" t="s">
        <v>37</v>
      </c>
      <c r="N37" s="56">
        <v>1580</v>
      </c>
      <c r="O37" s="6">
        <f>N37*0.4</f>
        <v>632</v>
      </c>
      <c r="P37" s="4">
        <f t="shared" si="19"/>
        <v>1448</v>
      </c>
      <c r="Q37" s="8" t="s">
        <v>97</v>
      </c>
      <c r="R37" s="3" t="s">
        <v>16</v>
      </c>
      <c r="S37" s="7" t="s">
        <v>98</v>
      </c>
      <c r="T37" s="6">
        <f t="shared" si="12"/>
        <v>2080</v>
      </c>
      <c r="U37" s="6">
        <v>150</v>
      </c>
      <c r="V37" s="4">
        <f t="shared" ref="V37" si="20">N37-U37</f>
        <v>1430</v>
      </c>
      <c r="W37" s="6"/>
      <c r="X37" s="6">
        <f t="shared" si="18"/>
        <v>30</v>
      </c>
      <c r="Y37" s="6">
        <f t="shared" ref="Y37" si="21">V37-X37</f>
        <v>1400</v>
      </c>
      <c r="Z37" s="4">
        <f>IF(P37&gt;0,H37,0)+Z36</f>
        <v>14</v>
      </c>
    </row>
    <row r="38" spans="1:30" s="4" customFormat="1">
      <c r="B38" s="58" t="s">
        <v>209</v>
      </c>
      <c r="C38" s="4" t="s">
        <v>210</v>
      </c>
      <c r="D38" s="19" t="s">
        <v>31</v>
      </c>
      <c r="E38" s="4">
        <f t="shared" si="5"/>
        <v>0</v>
      </c>
      <c r="G38" s="4" t="s">
        <v>211</v>
      </c>
      <c r="H38" s="19">
        <v>6</v>
      </c>
      <c r="I38" s="19" t="s">
        <v>126</v>
      </c>
      <c r="J38" s="4" t="s">
        <v>57</v>
      </c>
      <c r="K38" s="7">
        <v>0</v>
      </c>
      <c r="L38" s="5" t="s">
        <v>37</v>
      </c>
      <c r="N38" s="56">
        <v>1000</v>
      </c>
      <c r="O38" s="6">
        <f>N38*0.4</f>
        <v>400</v>
      </c>
      <c r="P38" s="4">
        <f t="shared" ref="P38" si="22">(N38+500)-O38</f>
        <v>1100</v>
      </c>
      <c r="Q38" s="8" t="s">
        <v>186</v>
      </c>
      <c r="R38" s="3" t="s">
        <v>213</v>
      </c>
      <c r="S38" s="7" t="s">
        <v>195</v>
      </c>
      <c r="T38" s="6">
        <f t="shared" ref="T38" si="23">P38+O38</f>
        <v>1500</v>
      </c>
      <c r="U38" s="6">
        <v>150</v>
      </c>
      <c r="V38" s="4">
        <f t="shared" ref="V38" si="24">N38-U38</f>
        <v>850</v>
      </c>
      <c r="W38" s="6"/>
      <c r="X38" s="6">
        <f t="shared" ref="X38" si="25">IF(H38&gt;0,30*F38,0)</f>
        <v>0</v>
      </c>
      <c r="Y38" s="6">
        <f t="shared" ref="Y38" si="26">V38-X38</f>
        <v>850</v>
      </c>
      <c r="Z38" s="4">
        <f t="shared" ref="Z38:Z62" si="27">IF(P38&gt;0,H38,0)+Z37</f>
        <v>20</v>
      </c>
    </row>
    <row r="39" spans="1:30">
      <c r="B39" s="19" t="s">
        <v>92</v>
      </c>
      <c r="C39" s="10" t="s">
        <v>42</v>
      </c>
      <c r="D39" s="19" t="s">
        <v>43</v>
      </c>
      <c r="E39" s="4">
        <f t="shared" si="5"/>
        <v>3</v>
      </c>
      <c r="F39" s="4">
        <f t="shared" si="17"/>
        <v>0</v>
      </c>
      <c r="G39" s="19" t="s">
        <v>93</v>
      </c>
      <c r="H39" s="19">
        <v>3</v>
      </c>
      <c r="I39" s="19" t="s">
        <v>107</v>
      </c>
      <c r="J39" s="4" t="s">
        <v>57</v>
      </c>
      <c r="K39" s="7">
        <v>0</v>
      </c>
      <c r="L39" s="5" t="s">
        <v>37</v>
      </c>
      <c r="M39" s="4"/>
      <c r="N39" s="56">
        <v>0</v>
      </c>
      <c r="O39" s="6">
        <v>0</v>
      </c>
      <c r="P39" s="4">
        <v>0</v>
      </c>
      <c r="Q39" s="8"/>
      <c r="R39" s="6"/>
      <c r="S39" s="7" t="s">
        <v>43</v>
      </c>
      <c r="T39" s="6">
        <f t="shared" si="12"/>
        <v>0</v>
      </c>
      <c r="U39" s="6">
        <v>150</v>
      </c>
      <c r="V39" s="4">
        <f t="shared" si="7"/>
        <v>-150</v>
      </c>
      <c r="W39" s="6"/>
      <c r="X39" s="6">
        <f t="shared" si="18"/>
        <v>0</v>
      </c>
      <c r="Y39" s="6">
        <f t="shared" si="10"/>
        <v>-150</v>
      </c>
      <c r="Z39" s="4">
        <f t="shared" si="27"/>
        <v>20</v>
      </c>
      <c r="AC39" s="4"/>
      <c r="AD39" s="4"/>
    </row>
    <row r="40" spans="1:30">
      <c r="B40" s="19" t="s">
        <v>75</v>
      </c>
      <c r="C40" s="10" t="s">
        <v>76</v>
      </c>
      <c r="D40" s="19" t="s">
        <v>31</v>
      </c>
      <c r="E40" s="4">
        <f t="shared" si="5"/>
        <v>0</v>
      </c>
      <c r="F40" s="4">
        <f t="shared" si="17"/>
        <v>1</v>
      </c>
      <c r="G40" s="19" t="s">
        <v>77</v>
      </c>
      <c r="H40" s="19">
        <v>14</v>
      </c>
      <c r="I40" s="19" t="s">
        <v>36</v>
      </c>
      <c r="J40" s="4" t="s">
        <v>57</v>
      </c>
      <c r="K40" s="7">
        <v>0</v>
      </c>
      <c r="L40" s="5" t="s">
        <v>37</v>
      </c>
      <c r="M40" s="4"/>
      <c r="N40" s="56">
        <f>3695-500</f>
        <v>3195</v>
      </c>
      <c r="O40" s="6">
        <f>N40*0.4</f>
        <v>1278</v>
      </c>
      <c r="P40" s="4">
        <f t="shared" si="9"/>
        <v>2417</v>
      </c>
      <c r="Q40" s="8" t="s">
        <v>78</v>
      </c>
      <c r="R40" s="6" t="s">
        <v>67</v>
      </c>
      <c r="S40" s="7" t="s">
        <v>58</v>
      </c>
      <c r="T40" s="6">
        <f t="shared" si="12"/>
        <v>3695</v>
      </c>
      <c r="U40" s="6">
        <v>150</v>
      </c>
      <c r="V40" s="4">
        <f t="shared" si="7"/>
        <v>3045</v>
      </c>
      <c r="W40" s="6"/>
      <c r="X40" s="6">
        <f t="shared" si="18"/>
        <v>30</v>
      </c>
      <c r="Y40" s="6">
        <f t="shared" si="10"/>
        <v>3015</v>
      </c>
      <c r="Z40" s="4">
        <f t="shared" si="27"/>
        <v>34</v>
      </c>
      <c r="AC40" s="4"/>
      <c r="AD40" s="4"/>
    </row>
    <row r="41" spans="1:30" s="4" customFormat="1">
      <c r="B41" s="19" t="s">
        <v>90</v>
      </c>
      <c r="C41" s="10" t="s">
        <v>42</v>
      </c>
      <c r="D41" s="19" t="s">
        <v>43</v>
      </c>
      <c r="E41" s="4">
        <f t="shared" si="5"/>
        <v>7</v>
      </c>
      <c r="F41" s="4">
        <f t="shared" si="17"/>
        <v>0</v>
      </c>
      <c r="G41" s="4" t="s">
        <v>157</v>
      </c>
      <c r="H41" s="19">
        <v>7</v>
      </c>
      <c r="I41" s="19" t="s">
        <v>91</v>
      </c>
      <c r="J41" s="4" t="s">
        <v>57</v>
      </c>
      <c r="K41" s="7">
        <v>3</v>
      </c>
      <c r="L41" s="5" t="s">
        <v>37</v>
      </c>
      <c r="N41" s="56">
        <v>0</v>
      </c>
      <c r="O41" s="6">
        <v>0</v>
      </c>
      <c r="P41" s="4">
        <v>0</v>
      </c>
      <c r="Q41" s="8"/>
      <c r="R41" s="6"/>
      <c r="S41" s="7" t="s">
        <v>43</v>
      </c>
      <c r="T41" s="6">
        <f t="shared" si="12"/>
        <v>0</v>
      </c>
      <c r="U41" s="6">
        <v>150</v>
      </c>
      <c r="V41" s="4">
        <f t="shared" si="7"/>
        <v>-150</v>
      </c>
      <c r="W41" s="6"/>
      <c r="X41" s="6">
        <f t="shared" si="18"/>
        <v>0</v>
      </c>
      <c r="Y41" s="6">
        <f t="shared" si="10"/>
        <v>-150</v>
      </c>
      <c r="Z41" s="4">
        <f t="shared" si="27"/>
        <v>34</v>
      </c>
    </row>
    <row r="42" spans="1:30" s="4" customFormat="1">
      <c r="B42" s="10" t="s">
        <v>53</v>
      </c>
      <c r="C42" s="19" t="s">
        <v>52</v>
      </c>
      <c r="D42" s="19" t="s">
        <v>31</v>
      </c>
      <c r="E42" s="4">
        <f t="shared" si="5"/>
        <v>0</v>
      </c>
      <c r="F42" s="4">
        <f t="shared" si="17"/>
        <v>1</v>
      </c>
      <c r="G42" s="19" t="s">
        <v>110</v>
      </c>
      <c r="H42" s="19">
        <v>7</v>
      </c>
      <c r="I42" s="19" t="s">
        <v>36</v>
      </c>
      <c r="J42" s="4" t="s">
        <v>59</v>
      </c>
      <c r="K42" s="7">
        <v>0</v>
      </c>
      <c r="L42" s="5" t="s">
        <v>37</v>
      </c>
      <c r="N42" s="56">
        <f>1600+125+67.28</f>
        <v>1792.28</v>
      </c>
      <c r="O42" s="6">
        <f>N42*0.4</f>
        <v>716.91200000000003</v>
      </c>
      <c r="P42" s="4">
        <f t="shared" ref="P42" si="28">(N42+500)-O42</f>
        <v>1575.3679999999997</v>
      </c>
      <c r="Q42" s="8" t="s">
        <v>45</v>
      </c>
      <c r="R42" s="3" t="s">
        <v>16</v>
      </c>
      <c r="S42" s="7" t="s">
        <v>58</v>
      </c>
      <c r="T42" s="6">
        <f t="shared" si="12"/>
        <v>2292.2799999999997</v>
      </c>
      <c r="U42" s="6">
        <v>150</v>
      </c>
      <c r="V42" s="4">
        <f t="shared" ref="V42" si="29">N42-U42</f>
        <v>1642.28</v>
      </c>
      <c r="W42" s="6"/>
      <c r="X42" s="6">
        <f t="shared" si="18"/>
        <v>30</v>
      </c>
      <c r="Y42" s="6">
        <f t="shared" ref="Y42" si="30">V42-X42</f>
        <v>1612.28</v>
      </c>
      <c r="Z42" s="4">
        <f t="shared" si="27"/>
        <v>41</v>
      </c>
    </row>
    <row r="43" spans="1:30" s="4" customFormat="1" ht="15.75">
      <c r="B43" s="20" t="s">
        <v>116</v>
      </c>
      <c r="C43" s="20" t="s">
        <v>114</v>
      </c>
      <c r="D43" s="19"/>
      <c r="E43" s="4">
        <f t="shared" si="5"/>
        <v>0</v>
      </c>
      <c r="F43" s="4">
        <f t="shared" si="17"/>
        <v>1</v>
      </c>
      <c r="G43" s="19" t="s">
        <v>125</v>
      </c>
      <c r="H43" s="19">
        <v>7</v>
      </c>
      <c r="I43" s="19" t="s">
        <v>115</v>
      </c>
      <c r="J43" s="4" t="s">
        <v>57</v>
      </c>
      <c r="K43" s="7">
        <v>0</v>
      </c>
      <c r="L43" s="18" t="s">
        <v>124</v>
      </c>
      <c r="N43" s="57">
        <v>1847</v>
      </c>
      <c r="O43" s="4">
        <f>(N43+500)*0.4</f>
        <v>938.80000000000007</v>
      </c>
      <c r="P43" s="4">
        <f t="shared" si="9"/>
        <v>1408.1999999999998</v>
      </c>
      <c r="Q43" s="6" t="s">
        <v>123</v>
      </c>
      <c r="R43" s="3" t="s">
        <v>16</v>
      </c>
      <c r="S43" s="7" t="s">
        <v>113</v>
      </c>
      <c r="T43" s="6">
        <f t="shared" si="12"/>
        <v>2347</v>
      </c>
      <c r="U43" s="6">
        <v>150</v>
      </c>
      <c r="V43" s="4">
        <f t="shared" si="7"/>
        <v>1697</v>
      </c>
      <c r="X43" s="6">
        <f t="shared" si="18"/>
        <v>30</v>
      </c>
      <c r="Y43" s="6">
        <f t="shared" si="10"/>
        <v>1667</v>
      </c>
      <c r="Z43" s="4">
        <f t="shared" si="27"/>
        <v>48</v>
      </c>
    </row>
    <row r="44" spans="1:30" ht="15.75">
      <c r="B44" s="4" t="s">
        <v>187</v>
      </c>
      <c r="C44" t="s">
        <v>188</v>
      </c>
      <c r="D44" s="19" t="s">
        <v>31</v>
      </c>
      <c r="E44" s="4">
        <f t="shared" si="5"/>
        <v>0</v>
      </c>
      <c r="F44" s="4">
        <f t="shared" si="17"/>
        <v>1</v>
      </c>
      <c r="G44" s="4" t="s">
        <v>192</v>
      </c>
      <c r="H44" s="19">
        <v>20</v>
      </c>
      <c r="I44" s="4" t="s">
        <v>193</v>
      </c>
      <c r="J44" s="4" t="s">
        <v>57</v>
      </c>
      <c r="K44" s="7">
        <v>0</v>
      </c>
      <c r="L44" s="18" t="s">
        <v>124</v>
      </c>
      <c r="M44" s="4"/>
      <c r="N44" s="56">
        <f>3897+47</f>
        <v>3944</v>
      </c>
      <c r="O44" s="4">
        <v>1778</v>
      </c>
      <c r="P44" s="4">
        <f>IF(N44&gt;0,((N44+500)-O44),0)</f>
        <v>2666</v>
      </c>
      <c r="Q44" s="8" t="s">
        <v>197</v>
      </c>
      <c r="R44" s="3" t="s">
        <v>191</v>
      </c>
      <c r="S44" s="7" t="s">
        <v>195</v>
      </c>
      <c r="T44" s="6">
        <f t="shared" si="12"/>
        <v>4444</v>
      </c>
      <c r="U44" s="6">
        <v>150</v>
      </c>
      <c r="V44" s="4">
        <f t="shared" si="7"/>
        <v>3794</v>
      </c>
      <c r="W44" s="6"/>
      <c r="X44" s="6">
        <f t="shared" si="18"/>
        <v>30</v>
      </c>
      <c r="Y44" s="6">
        <f t="shared" si="10"/>
        <v>3764</v>
      </c>
      <c r="Z44" s="4">
        <f t="shared" si="27"/>
        <v>68</v>
      </c>
      <c r="AC44" s="4"/>
      <c r="AD44" s="4"/>
    </row>
    <row r="45" spans="1:30" s="4" customFormat="1">
      <c r="B45" s="19"/>
      <c r="C45" s="10"/>
      <c r="D45" s="19"/>
      <c r="E45" s="4">
        <f t="shared" ref="E45" si="31">IF(D45=$B$12,H45,0)</f>
        <v>0</v>
      </c>
      <c r="F45" s="4">
        <f t="shared" ref="F45" si="32">IF(E45&gt;0,0,1)</f>
        <v>1</v>
      </c>
      <c r="G45" s="19"/>
      <c r="H45" s="19">
        <v>0</v>
      </c>
      <c r="I45" s="19"/>
      <c r="K45" s="7"/>
      <c r="L45" s="5"/>
      <c r="N45" s="56">
        <v>0</v>
      </c>
      <c r="O45" s="6">
        <f>ROUND((N45*0.4),0)</f>
        <v>0</v>
      </c>
      <c r="P45" s="4">
        <f>IF(N45&gt;0,((N45+500)-O45),0)</f>
        <v>0</v>
      </c>
      <c r="Q45" s="8"/>
      <c r="R45" s="3"/>
      <c r="S45" s="7"/>
      <c r="T45" s="6">
        <f t="shared" si="12"/>
        <v>0</v>
      </c>
      <c r="U45" s="6">
        <f>IF(H45&gt;0,150,0)</f>
        <v>0</v>
      </c>
      <c r="V45" s="4">
        <f t="shared" si="7"/>
        <v>0</v>
      </c>
      <c r="W45" s="6"/>
      <c r="X45" s="6">
        <f t="shared" ref="X45" si="33">IF(H45&gt;0,30*F45,0)</f>
        <v>0</v>
      </c>
      <c r="Y45" s="6">
        <f t="shared" si="10"/>
        <v>0</v>
      </c>
      <c r="Z45" s="4">
        <f t="shared" si="27"/>
        <v>68</v>
      </c>
    </row>
    <row r="46" spans="1:30">
      <c r="B46" s="19" t="s">
        <v>69</v>
      </c>
      <c r="C46" s="19" t="s">
        <v>70</v>
      </c>
      <c r="D46" s="19" t="s">
        <v>31</v>
      </c>
      <c r="E46" s="4">
        <f t="shared" si="5"/>
        <v>0</v>
      </c>
      <c r="F46" s="4">
        <f t="shared" si="17"/>
        <v>1</v>
      </c>
      <c r="G46" s="19" t="s">
        <v>71</v>
      </c>
      <c r="H46" s="19">
        <v>12</v>
      </c>
      <c r="I46" s="19" t="s">
        <v>36</v>
      </c>
      <c r="J46" s="4" t="s">
        <v>57</v>
      </c>
      <c r="K46" s="7">
        <v>0</v>
      </c>
      <c r="L46" s="5" t="s">
        <v>37</v>
      </c>
      <c r="M46" s="4"/>
      <c r="N46" s="56">
        <f>2832-500</f>
        <v>2332</v>
      </c>
      <c r="O46" s="6">
        <v>933</v>
      </c>
      <c r="P46" s="4">
        <f t="shared" si="9"/>
        <v>1899</v>
      </c>
      <c r="Q46" s="8" t="s">
        <v>73</v>
      </c>
      <c r="R46" s="3" t="s">
        <v>16</v>
      </c>
      <c r="S46" s="7" t="s">
        <v>58</v>
      </c>
      <c r="T46" s="6">
        <f t="shared" si="12"/>
        <v>2832</v>
      </c>
      <c r="U46" s="6">
        <v>150</v>
      </c>
      <c r="V46" s="4">
        <f t="shared" si="7"/>
        <v>2182</v>
      </c>
      <c r="W46" s="6"/>
      <c r="X46" s="6">
        <f t="shared" si="18"/>
        <v>30</v>
      </c>
      <c r="Y46" s="6">
        <f t="shared" si="10"/>
        <v>2152</v>
      </c>
      <c r="Z46" s="4">
        <f t="shared" si="27"/>
        <v>80</v>
      </c>
      <c r="AC46" s="4"/>
      <c r="AD46" s="4"/>
    </row>
    <row r="47" spans="1:30" s="4" customFormat="1">
      <c r="B47" s="58" t="s">
        <v>202</v>
      </c>
      <c r="C47" s="4" t="s">
        <v>201</v>
      </c>
      <c r="D47" s="19" t="s">
        <v>31</v>
      </c>
      <c r="E47" s="4">
        <f t="shared" ref="E47" si="34">IF(D47=$B$12,H47,0)</f>
        <v>0</v>
      </c>
      <c r="F47" s="4">
        <f t="shared" ref="F47" si="35">IF(E47&gt;0,0,1)</f>
        <v>1</v>
      </c>
      <c r="G47" s="19" t="s">
        <v>198</v>
      </c>
      <c r="H47" s="19">
        <v>14</v>
      </c>
      <c r="I47" s="19" t="s">
        <v>199</v>
      </c>
      <c r="J47" s="4" t="s">
        <v>57</v>
      </c>
      <c r="K47" s="7">
        <v>0</v>
      </c>
      <c r="L47" s="5" t="s">
        <v>37</v>
      </c>
      <c r="N47" s="56">
        <f>3015-500</f>
        <v>2515</v>
      </c>
      <c r="O47" s="6">
        <f t="shared" ref="O47" si="36">ROUND((N47*0.4),0)</f>
        <v>1006</v>
      </c>
      <c r="P47" s="4">
        <f t="shared" ref="P47" si="37">IF(N47&gt;0,((N47+500)-O47),0)</f>
        <v>2009</v>
      </c>
      <c r="Q47" s="8" t="s">
        <v>200</v>
      </c>
      <c r="R47" s="3" t="s">
        <v>16</v>
      </c>
      <c r="S47" s="7"/>
      <c r="T47" s="6">
        <f t="shared" si="12"/>
        <v>3015</v>
      </c>
      <c r="U47" s="6">
        <f t="shared" ref="U47" si="38">IF(H47&gt;0,150,0)</f>
        <v>150</v>
      </c>
      <c r="V47" s="4">
        <f t="shared" si="7"/>
        <v>2365</v>
      </c>
      <c r="W47" s="6"/>
      <c r="X47" s="6">
        <f t="shared" ref="X47" si="39">IF(H47&gt;0,30*F47,0)</f>
        <v>30</v>
      </c>
      <c r="Y47" s="6">
        <f t="shared" si="10"/>
        <v>2335</v>
      </c>
      <c r="Z47" s="4">
        <f t="shared" si="27"/>
        <v>94</v>
      </c>
    </row>
    <row r="48" spans="1:30" s="4" customFormat="1">
      <c r="B48" s="20" t="s">
        <v>134</v>
      </c>
      <c r="C48" s="4" t="s">
        <v>133</v>
      </c>
      <c r="D48" s="4" t="s">
        <v>102</v>
      </c>
      <c r="E48" s="4">
        <f t="shared" si="5"/>
        <v>0</v>
      </c>
      <c r="F48" s="4">
        <f t="shared" si="17"/>
        <v>1</v>
      </c>
      <c r="G48" s="19" t="s">
        <v>135</v>
      </c>
      <c r="H48" s="19">
        <v>7</v>
      </c>
      <c r="I48" s="19" t="s">
        <v>136</v>
      </c>
      <c r="J48" s="19" t="s">
        <v>57</v>
      </c>
      <c r="K48" s="7">
        <v>0</v>
      </c>
      <c r="L48" s="5" t="s">
        <v>37</v>
      </c>
      <c r="N48" s="56">
        <v>1775</v>
      </c>
      <c r="O48" s="6">
        <f>(1775+500)*0.4</f>
        <v>910</v>
      </c>
      <c r="P48" s="4">
        <f t="shared" si="9"/>
        <v>1365</v>
      </c>
      <c r="Q48" s="8" t="s">
        <v>137</v>
      </c>
      <c r="R48" s="3" t="s">
        <v>16</v>
      </c>
      <c r="S48" s="7" t="s">
        <v>58</v>
      </c>
      <c r="T48" s="6">
        <f t="shared" si="12"/>
        <v>2275</v>
      </c>
      <c r="U48" s="6">
        <v>150</v>
      </c>
      <c r="V48" s="4">
        <f t="shared" ref="V48:V49" si="40">N48-U48</f>
        <v>1625</v>
      </c>
      <c r="W48" s="6"/>
      <c r="X48" s="6">
        <f t="shared" si="18"/>
        <v>30</v>
      </c>
      <c r="Y48" s="6">
        <f t="shared" ref="Y48:Y49" si="41">V48-X48</f>
        <v>1595</v>
      </c>
      <c r="Z48" s="4">
        <f t="shared" si="27"/>
        <v>101</v>
      </c>
    </row>
    <row r="49" spans="1:30" s="4" customFormat="1">
      <c r="B49" s="19" t="s">
        <v>92</v>
      </c>
      <c r="C49" s="10" t="s">
        <v>42</v>
      </c>
      <c r="D49" s="19" t="s">
        <v>43</v>
      </c>
      <c r="E49" s="4">
        <f t="shared" si="5"/>
        <v>9</v>
      </c>
      <c r="F49" s="4">
        <f t="shared" si="17"/>
        <v>0</v>
      </c>
      <c r="G49" s="19" t="s">
        <v>132</v>
      </c>
      <c r="H49" s="19">
        <v>9</v>
      </c>
      <c r="I49" s="19" t="s">
        <v>107</v>
      </c>
      <c r="J49" s="4" t="s">
        <v>57</v>
      </c>
      <c r="K49" s="7">
        <v>0</v>
      </c>
      <c r="L49" s="5" t="s">
        <v>37</v>
      </c>
      <c r="N49" s="56">
        <v>0</v>
      </c>
      <c r="O49" s="6"/>
      <c r="P49" s="4">
        <f>IF(N49&gt;0,((N49+500)-O49),0)</f>
        <v>0</v>
      </c>
      <c r="S49" s="7"/>
      <c r="T49" s="6">
        <f t="shared" si="12"/>
        <v>0</v>
      </c>
      <c r="U49" s="6">
        <v>150</v>
      </c>
      <c r="V49" s="4">
        <f t="shared" si="40"/>
        <v>-150</v>
      </c>
      <c r="W49" s="6"/>
      <c r="X49" s="6">
        <f t="shared" si="18"/>
        <v>0</v>
      </c>
      <c r="Y49" s="6">
        <f t="shared" si="41"/>
        <v>-150</v>
      </c>
      <c r="Z49" s="4">
        <f t="shared" si="27"/>
        <v>101</v>
      </c>
    </row>
    <row r="50" spans="1:30" s="4" customFormat="1">
      <c r="B50" s="19" t="s">
        <v>162</v>
      </c>
      <c r="C50" s="4" t="s">
        <v>161</v>
      </c>
      <c r="D50" s="19" t="s">
        <v>31</v>
      </c>
      <c r="E50" s="4">
        <f t="shared" ref="E50" si="42">IF(D50=$B$12,H50,0)</f>
        <v>0</v>
      </c>
      <c r="F50" s="4">
        <f t="shared" ref="F50" si="43">IF(E50&gt;0,0,1)</f>
        <v>1</v>
      </c>
      <c r="G50" s="19" t="s">
        <v>159</v>
      </c>
      <c r="H50" s="19">
        <v>7</v>
      </c>
      <c r="I50" s="19" t="s">
        <v>41</v>
      </c>
      <c r="J50" s="4" t="s">
        <v>57</v>
      </c>
      <c r="K50" s="7">
        <v>3</v>
      </c>
      <c r="L50" s="5" t="s">
        <v>37</v>
      </c>
      <c r="N50" s="56">
        <f>1914-500</f>
        <v>1414</v>
      </c>
      <c r="O50" s="6">
        <f>ROUND(N50*0.4,0)</f>
        <v>566</v>
      </c>
      <c r="P50" s="4">
        <f>IF(N50&gt;0,((N50+500)-O50),0)</f>
        <v>1348</v>
      </c>
      <c r="Q50" s="8" t="s">
        <v>160</v>
      </c>
      <c r="R50" s="3" t="s">
        <v>67</v>
      </c>
      <c r="S50" s="7" t="s">
        <v>58</v>
      </c>
      <c r="T50" s="6">
        <f t="shared" ref="T50" si="44">P50+O50</f>
        <v>1914</v>
      </c>
      <c r="U50" s="6">
        <v>150</v>
      </c>
      <c r="V50" s="4">
        <f t="shared" ref="V50" si="45">N50-U50</f>
        <v>1264</v>
      </c>
      <c r="W50" s="6"/>
      <c r="X50" s="6">
        <f t="shared" ref="X50" si="46">IF(H50&gt;0,30*F50,0)</f>
        <v>30</v>
      </c>
      <c r="Y50" s="6">
        <f t="shared" ref="Y50" si="47">V50-X50</f>
        <v>1234</v>
      </c>
      <c r="Z50" s="4">
        <f t="shared" si="27"/>
        <v>108</v>
      </c>
    </row>
    <row r="51" spans="1:30" s="4" customFormat="1">
      <c r="B51" s="19" t="s">
        <v>61</v>
      </c>
      <c r="C51" s="19" t="s">
        <v>62</v>
      </c>
      <c r="D51" s="19" t="s">
        <v>63</v>
      </c>
      <c r="E51" s="4">
        <f t="shared" si="5"/>
        <v>0</v>
      </c>
      <c r="F51" s="4">
        <f t="shared" si="17"/>
        <v>1</v>
      </c>
      <c r="G51" s="4" t="s">
        <v>145</v>
      </c>
      <c r="H51" s="19">
        <v>14</v>
      </c>
      <c r="I51" s="19" t="s">
        <v>65</v>
      </c>
      <c r="J51" s="4" t="s">
        <v>57</v>
      </c>
      <c r="K51" s="7">
        <v>3</v>
      </c>
      <c r="L51" s="5" t="s">
        <v>37</v>
      </c>
      <c r="N51" s="56">
        <v>2929</v>
      </c>
      <c r="O51" s="6">
        <f>1172-500</f>
        <v>672</v>
      </c>
      <c r="P51" s="4">
        <v>1757</v>
      </c>
      <c r="Q51" s="8" t="s">
        <v>143</v>
      </c>
      <c r="R51" s="6" t="s">
        <v>72</v>
      </c>
      <c r="S51" s="7" t="s">
        <v>155</v>
      </c>
      <c r="T51" s="6">
        <f t="shared" si="12"/>
        <v>2429</v>
      </c>
      <c r="U51" s="6">
        <v>150</v>
      </c>
      <c r="V51" s="4">
        <f t="shared" ref="V51:V61" si="48">N51-U51</f>
        <v>2779</v>
      </c>
      <c r="W51" s="6"/>
      <c r="X51" s="6">
        <f t="shared" si="18"/>
        <v>30</v>
      </c>
      <c r="Y51" s="6">
        <f t="shared" ref="Y51:Y60" si="49">V51-X51</f>
        <v>2749</v>
      </c>
      <c r="Z51" s="4">
        <f t="shared" si="27"/>
        <v>122</v>
      </c>
    </row>
    <row r="52" spans="1:30" s="4" customFormat="1">
      <c r="B52" s="19"/>
      <c r="C52" s="10"/>
      <c r="D52" s="19"/>
      <c r="E52" s="4">
        <f t="shared" ref="E52:E54" si="50">IF(D52=$B$12,H52,0)</f>
        <v>0</v>
      </c>
      <c r="F52" s="4">
        <f t="shared" ref="F52:F54" si="51">IF(E52&gt;0,0,1)</f>
        <v>1</v>
      </c>
      <c r="G52" s="19"/>
      <c r="H52" s="19">
        <v>0</v>
      </c>
      <c r="I52" s="19"/>
      <c r="K52" s="7"/>
      <c r="L52" s="5"/>
      <c r="N52" s="56">
        <v>0</v>
      </c>
      <c r="O52" s="6">
        <f t="shared" ref="O52:O54" si="52">ROUND((N52*0.4),0)</f>
        <v>0</v>
      </c>
      <c r="P52" s="4">
        <f t="shared" ref="P52:P54" si="53">IF(N52&gt;0,((N52+500)-O52),0)</f>
        <v>0</v>
      </c>
      <c r="Q52" s="8"/>
      <c r="R52" s="3"/>
      <c r="S52" s="7"/>
      <c r="T52" s="6">
        <f t="shared" si="12"/>
        <v>0</v>
      </c>
      <c r="U52" s="6">
        <f t="shared" ref="U52:U54" si="54">IF(H52&gt;0,150,0)</f>
        <v>0</v>
      </c>
      <c r="V52" s="4">
        <f t="shared" si="48"/>
        <v>0</v>
      </c>
      <c r="W52" s="6"/>
      <c r="X52" s="6">
        <f t="shared" ref="X52:X54" si="55">IF(H52&gt;0,30*F52,0)</f>
        <v>0</v>
      </c>
      <c r="Y52" s="6">
        <f t="shared" si="49"/>
        <v>0</v>
      </c>
      <c r="Z52" s="4">
        <f t="shared" si="27"/>
        <v>122</v>
      </c>
    </row>
    <row r="53" spans="1:30" s="4" customFormat="1">
      <c r="B53" s="19"/>
      <c r="C53" s="10"/>
      <c r="D53" s="19"/>
      <c r="E53" s="4">
        <f t="shared" si="50"/>
        <v>0</v>
      </c>
      <c r="F53" s="4">
        <f t="shared" si="51"/>
        <v>1</v>
      </c>
      <c r="G53" s="19"/>
      <c r="H53" s="19">
        <v>0</v>
      </c>
      <c r="I53" s="19"/>
      <c r="K53" s="7"/>
      <c r="L53" s="5"/>
      <c r="N53" s="56">
        <v>0</v>
      </c>
      <c r="O53" s="6">
        <f t="shared" si="52"/>
        <v>0</v>
      </c>
      <c r="P53" s="4">
        <f t="shared" si="53"/>
        <v>0</v>
      </c>
      <c r="Q53" s="8"/>
      <c r="R53" s="3"/>
      <c r="S53" s="7"/>
      <c r="T53" s="6">
        <f t="shared" si="12"/>
        <v>0</v>
      </c>
      <c r="U53" s="6">
        <f t="shared" si="54"/>
        <v>0</v>
      </c>
      <c r="V53" s="4">
        <f t="shared" si="48"/>
        <v>0</v>
      </c>
      <c r="W53" s="6"/>
      <c r="X53" s="6">
        <f t="shared" si="55"/>
        <v>0</v>
      </c>
      <c r="Y53" s="6">
        <f t="shared" si="49"/>
        <v>0</v>
      </c>
      <c r="Z53" s="4">
        <f t="shared" si="27"/>
        <v>122</v>
      </c>
    </row>
    <row r="54" spans="1:30" s="4" customFormat="1">
      <c r="B54" s="19"/>
      <c r="C54" s="10"/>
      <c r="D54" s="19"/>
      <c r="E54" s="4">
        <f t="shared" si="50"/>
        <v>0</v>
      </c>
      <c r="F54" s="4">
        <f t="shared" si="51"/>
        <v>1</v>
      </c>
      <c r="G54" s="19"/>
      <c r="H54" s="19">
        <v>0</v>
      </c>
      <c r="I54" s="19"/>
      <c r="K54" s="7"/>
      <c r="L54" s="5"/>
      <c r="N54" s="56">
        <v>0</v>
      </c>
      <c r="O54" s="6">
        <f t="shared" si="52"/>
        <v>0</v>
      </c>
      <c r="P54" s="4">
        <f t="shared" si="53"/>
        <v>0</v>
      </c>
      <c r="Q54" s="8"/>
      <c r="R54" s="3"/>
      <c r="S54" s="7"/>
      <c r="T54" s="6">
        <f t="shared" si="12"/>
        <v>0</v>
      </c>
      <c r="U54" s="6">
        <f t="shared" si="54"/>
        <v>0</v>
      </c>
      <c r="V54" s="4">
        <f t="shared" si="48"/>
        <v>0</v>
      </c>
      <c r="W54" s="6"/>
      <c r="X54" s="6">
        <f t="shared" si="55"/>
        <v>0</v>
      </c>
      <c r="Y54" s="6">
        <f t="shared" si="49"/>
        <v>0</v>
      </c>
      <c r="Z54" s="4">
        <f t="shared" si="27"/>
        <v>122</v>
      </c>
    </row>
    <row r="55" spans="1:30" s="4" customFormat="1">
      <c r="B55" s="20" t="s">
        <v>172</v>
      </c>
      <c r="C55" s="10" t="s">
        <v>173</v>
      </c>
      <c r="D55" s="19" t="s">
        <v>63</v>
      </c>
      <c r="E55" s="4">
        <f t="shared" ref="E55" si="56">IF(D55=$B$12,H55,0)</f>
        <v>0</v>
      </c>
      <c r="F55" s="4">
        <f t="shared" ref="F55" si="57">IF(E55&gt;0,0,1)</f>
        <v>1</v>
      </c>
      <c r="G55" s="4" t="s">
        <v>171</v>
      </c>
      <c r="H55" s="19">
        <v>7</v>
      </c>
      <c r="I55" s="19" t="s">
        <v>126</v>
      </c>
      <c r="J55" s="4" t="s">
        <v>57</v>
      </c>
      <c r="K55" s="7">
        <v>0</v>
      </c>
      <c r="L55" s="5" t="s">
        <v>37</v>
      </c>
      <c r="N55" s="56">
        <v>1431</v>
      </c>
      <c r="O55" s="6">
        <f>ROUND(N55*0.4,0)</f>
        <v>572</v>
      </c>
      <c r="P55" s="4">
        <f>IF(N55&gt;0,((N55+500)-O55),0)</f>
        <v>1359</v>
      </c>
      <c r="Q55" s="8" t="s">
        <v>174</v>
      </c>
      <c r="R55" s="3" t="s">
        <v>16</v>
      </c>
      <c r="S55" s="7" t="s">
        <v>58</v>
      </c>
      <c r="T55" s="6">
        <f t="shared" ref="T55" si="58">P55+O55</f>
        <v>1931</v>
      </c>
      <c r="U55" s="6">
        <v>150</v>
      </c>
      <c r="V55" s="4">
        <f t="shared" ref="V55" si="59">N55-U55</f>
        <v>1281</v>
      </c>
      <c r="W55" s="6"/>
      <c r="X55" s="6">
        <f t="shared" ref="X55" si="60">IF(H55&gt;0,30*F55,0)</f>
        <v>30</v>
      </c>
      <c r="Y55" s="6">
        <f t="shared" ref="Y55" si="61">V55-X55</f>
        <v>1251</v>
      </c>
      <c r="Z55" s="4">
        <f t="shared" si="27"/>
        <v>129</v>
      </c>
    </row>
    <row r="56" spans="1:30" s="4" customFormat="1">
      <c r="B56" s="19" t="s">
        <v>90</v>
      </c>
      <c r="C56" s="10" t="s">
        <v>42</v>
      </c>
      <c r="D56" s="19" t="s">
        <v>43</v>
      </c>
      <c r="E56" s="4">
        <f t="shared" si="5"/>
        <v>3</v>
      </c>
      <c r="F56" s="4">
        <f t="shared" si="17"/>
        <v>0</v>
      </c>
      <c r="G56" s="19" t="s">
        <v>99</v>
      </c>
      <c r="H56" s="19">
        <v>3</v>
      </c>
      <c r="I56" s="19" t="s">
        <v>65</v>
      </c>
      <c r="J56" s="4" t="s">
        <v>57</v>
      </c>
      <c r="K56" s="7">
        <v>3</v>
      </c>
      <c r="L56" s="5" t="s">
        <v>37</v>
      </c>
      <c r="N56" s="56">
        <v>0</v>
      </c>
      <c r="O56" s="6">
        <v>0</v>
      </c>
      <c r="P56" s="4">
        <f t="shared" ref="P56:P60" si="62">IF(N56&gt;0,((N56+500)-O56),0)</f>
        <v>0</v>
      </c>
      <c r="Q56" s="8" t="s">
        <v>43</v>
      </c>
      <c r="R56" s="3"/>
      <c r="S56" s="7"/>
      <c r="T56" s="6">
        <f t="shared" si="12"/>
        <v>0</v>
      </c>
      <c r="U56" s="6">
        <v>150</v>
      </c>
      <c r="V56" s="4">
        <f t="shared" si="48"/>
        <v>-150</v>
      </c>
      <c r="W56" s="6"/>
      <c r="X56" s="6">
        <f t="shared" si="18"/>
        <v>0</v>
      </c>
      <c r="Y56" s="6">
        <f t="shared" si="49"/>
        <v>-150</v>
      </c>
      <c r="Z56" s="4">
        <f t="shared" si="27"/>
        <v>129</v>
      </c>
    </row>
    <row r="57" spans="1:30" s="4" customFormat="1">
      <c r="B57" s="19"/>
      <c r="C57" s="10"/>
      <c r="D57" s="19"/>
      <c r="E57" s="4">
        <f t="shared" si="5"/>
        <v>0</v>
      </c>
      <c r="F57" s="4">
        <f t="shared" si="17"/>
        <v>1</v>
      </c>
      <c r="G57" s="19"/>
      <c r="H57" s="19">
        <v>0</v>
      </c>
      <c r="I57" s="19"/>
      <c r="K57" s="7"/>
      <c r="L57" s="5"/>
      <c r="N57" s="56">
        <v>0</v>
      </c>
      <c r="O57" s="6">
        <f t="shared" ref="O57:O59" si="63">ROUND((N57*0.4),0)</f>
        <v>0</v>
      </c>
      <c r="P57" s="4">
        <f t="shared" si="62"/>
        <v>0</v>
      </c>
      <c r="Q57" s="8"/>
      <c r="R57" s="3"/>
      <c r="S57" s="7"/>
      <c r="T57" s="6">
        <f t="shared" ref="T57:T59" si="64">P57+O57</f>
        <v>0</v>
      </c>
      <c r="U57" s="6">
        <f t="shared" ref="U57:U59" si="65">IF(H57&gt;0,150,0)</f>
        <v>0</v>
      </c>
      <c r="V57" s="4">
        <f t="shared" ref="V57:V59" si="66">N57-U57</f>
        <v>0</v>
      </c>
      <c r="W57" s="6"/>
      <c r="X57" s="6">
        <f t="shared" si="18"/>
        <v>0</v>
      </c>
      <c r="Y57" s="6">
        <f t="shared" ref="Y57:Y59" si="67">V57-X57</f>
        <v>0</v>
      </c>
      <c r="Z57" s="4">
        <f t="shared" si="27"/>
        <v>129</v>
      </c>
    </row>
    <row r="58" spans="1:30" s="4" customFormat="1">
      <c r="B58" s="19"/>
      <c r="C58" s="10"/>
      <c r="D58" s="19"/>
      <c r="E58" s="4">
        <f t="shared" si="5"/>
        <v>0</v>
      </c>
      <c r="F58" s="4">
        <f t="shared" si="17"/>
        <v>1</v>
      </c>
      <c r="G58" s="19"/>
      <c r="H58" s="19">
        <v>0</v>
      </c>
      <c r="I58" s="19"/>
      <c r="K58" s="7"/>
      <c r="L58" s="5"/>
      <c r="N58" s="56">
        <v>0</v>
      </c>
      <c r="O58" s="6">
        <f t="shared" si="63"/>
        <v>0</v>
      </c>
      <c r="P58" s="4">
        <f t="shared" si="62"/>
        <v>0</v>
      </c>
      <c r="Q58" s="8"/>
      <c r="R58" s="3"/>
      <c r="S58" s="7"/>
      <c r="T58" s="6">
        <f t="shared" si="64"/>
        <v>0</v>
      </c>
      <c r="U58" s="6">
        <f t="shared" si="65"/>
        <v>0</v>
      </c>
      <c r="V58" s="4">
        <f t="shared" si="66"/>
        <v>0</v>
      </c>
      <c r="W58" s="6"/>
      <c r="X58" s="6">
        <f t="shared" si="18"/>
        <v>0</v>
      </c>
      <c r="Y58" s="6">
        <f t="shared" si="67"/>
        <v>0</v>
      </c>
      <c r="Z58" s="4">
        <f t="shared" si="27"/>
        <v>129</v>
      </c>
    </row>
    <row r="59" spans="1:30" s="4" customFormat="1">
      <c r="B59" s="19"/>
      <c r="C59" s="10"/>
      <c r="D59" s="19"/>
      <c r="E59" s="4">
        <f t="shared" si="5"/>
        <v>0</v>
      </c>
      <c r="F59" s="4">
        <f t="shared" si="17"/>
        <v>1</v>
      </c>
      <c r="G59" s="19"/>
      <c r="H59" s="19">
        <v>0</v>
      </c>
      <c r="I59" s="19"/>
      <c r="K59" s="7"/>
      <c r="L59" s="5"/>
      <c r="N59" s="56">
        <v>0</v>
      </c>
      <c r="O59" s="6">
        <f t="shared" si="63"/>
        <v>0</v>
      </c>
      <c r="P59" s="4">
        <f t="shared" si="62"/>
        <v>0</v>
      </c>
      <c r="Q59" s="8"/>
      <c r="R59" s="3"/>
      <c r="S59" s="7"/>
      <c r="T59" s="6">
        <f t="shared" si="64"/>
        <v>0</v>
      </c>
      <c r="U59" s="6">
        <f t="shared" si="65"/>
        <v>0</v>
      </c>
      <c r="V59" s="4">
        <f t="shared" si="66"/>
        <v>0</v>
      </c>
      <c r="W59" s="6"/>
      <c r="X59" s="6">
        <f t="shared" si="18"/>
        <v>0</v>
      </c>
      <c r="Y59" s="6">
        <f t="shared" si="67"/>
        <v>0</v>
      </c>
      <c r="Z59" s="4">
        <f t="shared" si="27"/>
        <v>129</v>
      </c>
    </row>
    <row r="60" spans="1:30">
      <c r="B60" s="19" t="s">
        <v>90</v>
      </c>
      <c r="C60" s="10" t="s">
        <v>42</v>
      </c>
      <c r="D60" s="19" t="s">
        <v>43</v>
      </c>
      <c r="E60" s="4">
        <f t="shared" si="5"/>
        <v>5</v>
      </c>
      <c r="F60" s="4">
        <f t="shared" si="17"/>
        <v>0</v>
      </c>
      <c r="G60" s="19" t="s">
        <v>111</v>
      </c>
      <c r="H60" s="19">
        <v>5</v>
      </c>
      <c r="I60" s="19" t="s">
        <v>65</v>
      </c>
      <c r="J60" s="4" t="s">
        <v>57</v>
      </c>
      <c r="K60" s="7">
        <v>3</v>
      </c>
      <c r="L60" s="5" t="s">
        <v>37</v>
      </c>
      <c r="M60" s="4"/>
      <c r="N60" s="56">
        <v>0</v>
      </c>
      <c r="O60" s="6">
        <v>0</v>
      </c>
      <c r="P60" s="4">
        <f t="shared" si="62"/>
        <v>0</v>
      </c>
      <c r="Q60" s="8" t="s">
        <v>43</v>
      </c>
      <c r="R60" s="3"/>
      <c r="S60" s="7"/>
      <c r="T60" s="6">
        <f t="shared" si="12"/>
        <v>0</v>
      </c>
      <c r="U60" s="6">
        <v>150</v>
      </c>
      <c r="V60" s="4">
        <f t="shared" si="48"/>
        <v>-150</v>
      </c>
      <c r="W60" s="6"/>
      <c r="X60" s="6">
        <f t="shared" si="18"/>
        <v>0</v>
      </c>
      <c r="Y60" s="6">
        <f t="shared" si="49"/>
        <v>-150</v>
      </c>
      <c r="Z60" s="4">
        <f t="shared" si="27"/>
        <v>129</v>
      </c>
      <c r="AC60" s="4"/>
      <c r="AD60" s="4"/>
    </row>
    <row r="61" spans="1:30" s="4" customFormat="1">
      <c r="B61" s="19"/>
      <c r="C61" s="10"/>
      <c r="D61" s="19"/>
      <c r="E61" s="4">
        <f t="shared" si="5"/>
        <v>0</v>
      </c>
      <c r="F61" s="4">
        <f t="shared" si="17"/>
        <v>1</v>
      </c>
      <c r="G61" s="19"/>
      <c r="H61" s="19">
        <v>0</v>
      </c>
      <c r="I61" s="19"/>
      <c r="K61" s="7"/>
      <c r="L61" s="5"/>
      <c r="N61" s="56">
        <v>0</v>
      </c>
      <c r="O61" s="6">
        <f>ROUND((N61*0.4),0)</f>
        <v>0</v>
      </c>
      <c r="P61" s="4">
        <f>IF(N61&gt;0,((N61+500)-O61),0)</f>
        <v>0</v>
      </c>
      <c r="Q61" s="8"/>
      <c r="R61" s="3"/>
      <c r="S61" s="7"/>
      <c r="T61" s="6">
        <f t="shared" si="12"/>
        <v>0</v>
      </c>
      <c r="U61" s="6">
        <f>IF(H61&gt;0,150,0)</f>
        <v>0</v>
      </c>
      <c r="V61" s="4">
        <f t="shared" si="48"/>
        <v>0</v>
      </c>
      <c r="W61" s="6"/>
      <c r="X61" s="6">
        <f t="shared" si="18"/>
        <v>0</v>
      </c>
      <c r="Y61" s="6">
        <f t="shared" ref="Y61" si="68">V61-X61</f>
        <v>0</v>
      </c>
      <c r="Z61" s="4">
        <f t="shared" si="27"/>
        <v>129</v>
      </c>
    </row>
    <row r="62" spans="1:30" s="4" customFormat="1">
      <c r="B62" s="19"/>
      <c r="C62" s="10"/>
      <c r="D62" s="19"/>
      <c r="E62" s="4">
        <f t="shared" si="5"/>
        <v>0</v>
      </c>
      <c r="F62" s="4">
        <f t="shared" si="17"/>
        <v>1</v>
      </c>
      <c r="G62" s="19"/>
      <c r="H62" s="19">
        <v>0</v>
      </c>
      <c r="I62" s="19"/>
      <c r="K62" s="7"/>
      <c r="L62" s="5"/>
      <c r="N62" s="56">
        <v>0</v>
      </c>
      <c r="O62" s="6">
        <f>ROUND((N62*0.4),0)</f>
        <v>0</v>
      </c>
      <c r="P62" s="4">
        <f>IF(N62&gt;0,((N62+500)-O62),0)</f>
        <v>0</v>
      </c>
      <c r="Q62" s="8"/>
      <c r="R62" s="3"/>
      <c r="S62" s="7"/>
      <c r="T62" s="6">
        <f t="shared" ref="T62" si="69">P62+O62</f>
        <v>0</v>
      </c>
      <c r="U62" s="6">
        <f>IF(H62&gt;0,150,0)</f>
        <v>0</v>
      </c>
      <c r="V62" s="4">
        <f t="shared" ref="V62" si="70">N62-U62</f>
        <v>0</v>
      </c>
      <c r="W62" s="6"/>
      <c r="X62" s="6">
        <f t="shared" si="18"/>
        <v>0</v>
      </c>
      <c r="Y62" s="6">
        <f t="shared" ref="Y62" si="71">V62-X62</f>
        <v>0</v>
      </c>
      <c r="Z62" s="4">
        <f t="shared" si="27"/>
        <v>129</v>
      </c>
    </row>
    <row r="63" spans="1:30" s="4" customFormat="1">
      <c r="A63" s="48"/>
      <c r="B63" s="49"/>
      <c r="C63" s="50"/>
      <c r="D63" s="49"/>
      <c r="E63" s="49"/>
      <c r="F63" s="49"/>
      <c r="G63" s="49"/>
      <c r="H63" s="49">
        <f>Z62</f>
        <v>129</v>
      </c>
      <c r="I63" s="54" t="s">
        <v>214</v>
      </c>
      <c r="J63" s="48">
        <f>H63/7</f>
        <v>18.428571428571427</v>
      </c>
      <c r="K63" s="54" t="s">
        <v>215</v>
      </c>
      <c r="L63" s="52">
        <f>Y63/J63</f>
        <v>1268.7516279069769</v>
      </c>
      <c r="M63" s="48"/>
      <c r="N63" s="53">
        <f>SUM(N35:N62)</f>
        <v>27071.279999999999</v>
      </c>
      <c r="O63" s="54"/>
      <c r="P63" s="48"/>
      <c r="Q63" s="55"/>
      <c r="R63" s="53"/>
      <c r="S63" s="51"/>
      <c r="T63" s="54"/>
      <c r="U63" s="54"/>
      <c r="V63" s="48"/>
      <c r="W63" s="54"/>
      <c r="X63" s="54"/>
      <c r="Y63" s="53">
        <f>SUM(Y35:Y62)</f>
        <v>23381.279999999999</v>
      </c>
    </row>
    <row r="64" spans="1:30" s="4" customFormat="1" ht="23.25">
      <c r="A64" s="34"/>
      <c r="B64" s="31">
        <v>2012</v>
      </c>
      <c r="C64" s="32"/>
      <c r="D64" s="33"/>
      <c r="E64" s="33"/>
      <c r="F64" s="33"/>
      <c r="G64" s="33"/>
      <c r="H64" s="33"/>
      <c r="I64" s="33"/>
      <c r="J64" s="34"/>
      <c r="K64" s="35"/>
      <c r="L64" s="36"/>
      <c r="M64" s="34"/>
      <c r="N64" s="37"/>
      <c r="O64" s="37"/>
      <c r="P64" s="34"/>
      <c r="Q64" s="38"/>
      <c r="R64" s="39"/>
      <c r="S64" s="35"/>
      <c r="T64" s="37"/>
      <c r="U64" s="37"/>
      <c r="V64" s="34"/>
      <c r="W64" s="37"/>
      <c r="X64" s="37"/>
      <c r="Y64" s="37"/>
    </row>
    <row r="65" spans="1:25" s="4" customFormat="1">
      <c r="B65" s="19" t="s">
        <v>90</v>
      </c>
      <c r="C65" s="10" t="s">
        <v>42</v>
      </c>
      <c r="D65" s="19" t="s">
        <v>43</v>
      </c>
      <c r="E65" s="4">
        <f t="shared" ref="E65" si="72">IF(D65=$B$12,H65,0)</f>
        <v>5</v>
      </c>
      <c r="F65" s="4">
        <f t="shared" ref="F65" si="73">IF(E65&gt;0,0,1)</f>
        <v>0</v>
      </c>
      <c r="G65" s="4" t="s">
        <v>168</v>
      </c>
      <c r="H65" s="19">
        <v>5</v>
      </c>
      <c r="I65" s="4" t="s">
        <v>169</v>
      </c>
      <c r="J65" s="4" t="s">
        <v>57</v>
      </c>
      <c r="K65" s="7">
        <v>3</v>
      </c>
      <c r="L65" s="5" t="s">
        <v>37</v>
      </c>
      <c r="N65" s="56">
        <v>0</v>
      </c>
      <c r="O65" s="6">
        <v>0</v>
      </c>
      <c r="P65" s="4">
        <f t="shared" ref="P65" si="74">IF(N65&gt;0,((N65+500)-O65),0)</f>
        <v>0</v>
      </c>
      <c r="Q65" s="8" t="s">
        <v>43</v>
      </c>
      <c r="R65" s="3"/>
      <c r="S65" s="7"/>
      <c r="T65" s="6">
        <f t="shared" ref="T65" si="75">P65+O65</f>
        <v>0</v>
      </c>
      <c r="U65" s="6">
        <v>150</v>
      </c>
      <c r="V65" s="4">
        <f t="shared" ref="V65" si="76">N65-U65</f>
        <v>-150</v>
      </c>
      <c r="W65" s="6"/>
      <c r="X65" s="6">
        <f t="shared" ref="X65" si="77">IF(H65&gt;0,30*F65,0)</f>
        <v>0</v>
      </c>
      <c r="Y65" s="6">
        <f t="shared" ref="Y65" si="78">V65-X65</f>
        <v>-150</v>
      </c>
    </row>
    <row r="66" spans="1:25" s="4" customFormat="1">
      <c r="B66" s="19"/>
      <c r="C66" s="10"/>
      <c r="D66" s="19"/>
      <c r="E66" s="4">
        <f t="shared" ref="E66" si="79">IF(D66=$B$12,H66,0)</f>
        <v>0</v>
      </c>
      <c r="F66" s="4">
        <f t="shared" ref="F66" si="80">IF(E66&gt;0,0,1)</f>
        <v>1</v>
      </c>
      <c r="G66" s="19"/>
      <c r="H66" s="19">
        <v>0</v>
      </c>
      <c r="I66" s="19"/>
      <c r="K66" s="7"/>
      <c r="L66" s="5"/>
      <c r="N66" s="56">
        <v>0</v>
      </c>
      <c r="O66" s="6">
        <f>ROUND((N66*0.4),0)</f>
        <v>0</v>
      </c>
      <c r="P66" s="4">
        <f>IF(N66&gt;0,((N66+500)-O66),0)</f>
        <v>0</v>
      </c>
      <c r="Q66" s="8"/>
      <c r="R66" s="3"/>
      <c r="S66" s="7"/>
      <c r="T66" s="6">
        <f t="shared" ref="T66" si="81">P66+O66</f>
        <v>0</v>
      </c>
      <c r="U66" s="6">
        <f>IF(H66&gt;0,150,0)</f>
        <v>0</v>
      </c>
      <c r="V66" s="4">
        <f t="shared" ref="V66" si="82">N66-U66</f>
        <v>0</v>
      </c>
      <c r="W66" s="6"/>
      <c r="X66" s="6">
        <f t="shared" ref="X66" si="83">IF(H66&gt;0,30*F66,0)</f>
        <v>0</v>
      </c>
      <c r="Y66" s="6">
        <f t="shared" ref="Y66" si="84">V66-X66</f>
        <v>0</v>
      </c>
    </row>
    <row r="67" spans="1:25" s="4" customFormat="1">
      <c r="A67" s="48"/>
      <c r="B67" s="49"/>
      <c r="C67" s="50"/>
      <c r="D67" s="49"/>
      <c r="E67" s="49"/>
      <c r="F67" s="49"/>
      <c r="G67" s="49"/>
      <c r="H67" s="49"/>
      <c r="I67" s="49"/>
      <c r="J67" s="48"/>
      <c r="K67" s="51"/>
      <c r="L67" s="52"/>
      <c r="M67" s="48"/>
      <c r="N67" s="53">
        <f>SUM(N65:N66)</f>
        <v>0</v>
      </c>
      <c r="O67" s="54"/>
      <c r="P67" s="48"/>
      <c r="Q67" s="55"/>
      <c r="R67" s="53"/>
      <c r="S67" s="51"/>
      <c r="T67" s="54"/>
      <c r="U67" s="54"/>
      <c r="V67" s="48"/>
      <c r="W67" s="54"/>
      <c r="X67" s="54"/>
      <c r="Y67" s="53">
        <f>SUM(Y65:Y66)</f>
        <v>-150</v>
      </c>
    </row>
    <row r="68" spans="1:25" s="4" customFormat="1">
      <c r="A68" s="23"/>
      <c r="B68" s="24"/>
      <c r="C68" s="25"/>
      <c r="D68" s="24"/>
      <c r="E68" s="24"/>
      <c r="F68" s="24"/>
      <c r="G68" s="24"/>
      <c r="H68" s="24"/>
      <c r="I68" s="24"/>
      <c r="J68" s="23"/>
      <c r="K68" s="26"/>
      <c r="L68" s="27"/>
      <c r="M68" s="23"/>
      <c r="N68" s="28"/>
      <c r="O68" s="28"/>
      <c r="P68" s="23"/>
      <c r="Q68" s="29"/>
      <c r="R68" s="30"/>
      <c r="S68" s="26"/>
      <c r="T68" s="28"/>
      <c r="U68" s="28"/>
      <c r="V68" s="23"/>
      <c r="W68" s="28"/>
      <c r="X68" s="28"/>
      <c r="Y68" s="28"/>
    </row>
    <row r="69" spans="1:25" s="4" customFormat="1">
      <c r="A69" s="40"/>
      <c r="B69" s="41"/>
      <c r="C69" s="42"/>
      <c r="D69" s="41"/>
      <c r="E69" s="41"/>
      <c r="F69" s="41"/>
      <c r="G69" s="41"/>
      <c r="H69" s="41"/>
      <c r="I69" s="41"/>
      <c r="J69" s="40"/>
      <c r="K69" s="43"/>
      <c r="L69" s="44"/>
      <c r="M69" s="40"/>
      <c r="N69" s="45"/>
      <c r="O69" s="45"/>
      <c r="P69" s="40"/>
      <c r="Q69" s="46"/>
      <c r="R69" s="47"/>
      <c r="S69" s="43"/>
      <c r="T69" s="45"/>
      <c r="U69" s="45"/>
      <c r="V69" s="40"/>
      <c r="W69" s="45"/>
      <c r="X69" s="45"/>
      <c r="Y69" s="45"/>
    </row>
    <row r="70" spans="1:25" s="4" customFormat="1">
      <c r="A70" s="23"/>
      <c r="B70" s="24"/>
      <c r="C70" s="25"/>
      <c r="D70" s="24"/>
      <c r="E70" s="24"/>
      <c r="F70" s="24"/>
      <c r="G70" s="24"/>
      <c r="H70" s="24"/>
      <c r="I70" s="24"/>
      <c r="J70" s="23"/>
      <c r="K70" s="26"/>
      <c r="L70" s="27"/>
      <c r="M70" s="23"/>
      <c r="N70" s="28"/>
      <c r="O70" s="28"/>
      <c r="P70" s="23"/>
      <c r="Q70" s="29"/>
      <c r="R70" s="30"/>
      <c r="S70" s="26"/>
      <c r="T70" s="28"/>
      <c r="U70" s="28"/>
      <c r="V70" s="23"/>
      <c r="W70" s="28"/>
      <c r="X70" s="28"/>
      <c r="Y70" s="28"/>
    </row>
    <row r="71" spans="1:25" s="4" customFormat="1" ht="15.75">
      <c r="C71" s="13"/>
      <c r="G71" s="21" t="s">
        <v>142</v>
      </c>
      <c r="H71" s="4">
        <f>SUM(H16:H68)</f>
        <v>601</v>
      </c>
      <c r="K71" s="7"/>
      <c r="U71" s="4">
        <f>SUM(U23:U66)</f>
        <v>5100</v>
      </c>
      <c r="V71" s="4">
        <f>SUM(V23:V66)</f>
        <v>32683.279999999999</v>
      </c>
      <c r="W71" s="4">
        <f>SUM(W23:W66)</f>
        <v>0</v>
      </c>
      <c r="X71" s="4">
        <f>SUM(X23:X66)</f>
        <v>560</v>
      </c>
      <c r="Y71" s="4">
        <f>SUM(Y16:Y68)-(Y33+Y63)</f>
        <v>41312.28</v>
      </c>
    </row>
    <row r="72" spans="1:25" s="4" customFormat="1">
      <c r="K72" s="7"/>
    </row>
    <row r="73" spans="1:25" s="4" customFormat="1">
      <c r="G73" s="6" t="s">
        <v>141</v>
      </c>
      <c r="H73" s="4">
        <f>H71/7</f>
        <v>85.857142857142861</v>
      </c>
      <c r="K73" s="7"/>
      <c r="Y73" s="4">
        <f>Y71/320000</f>
        <v>0.129100875</v>
      </c>
    </row>
    <row r="74" spans="1:25" s="4" customFormat="1">
      <c r="K74" s="7"/>
    </row>
    <row r="75" spans="1:25" s="4" customFormat="1">
      <c r="G75" s="6" t="s">
        <v>151</v>
      </c>
      <c r="H75" s="4">
        <f>SUM(E16:E68)</f>
        <v>124</v>
      </c>
      <c r="K75" s="7"/>
    </row>
    <row r="76" spans="1:25">
      <c r="G76" s="6" t="s">
        <v>152</v>
      </c>
      <c r="H76" s="4">
        <f>H75/7</f>
        <v>17.714285714285715</v>
      </c>
    </row>
    <row r="78" spans="1:25">
      <c r="G78" s="6" t="s">
        <v>153</v>
      </c>
      <c r="H78" s="4">
        <f>H71-H75</f>
        <v>477</v>
      </c>
    </row>
    <row r="79" spans="1:25">
      <c r="G79" s="6" t="s">
        <v>154</v>
      </c>
      <c r="H79" s="4">
        <f>H73-H76</f>
        <v>68.142857142857139</v>
      </c>
      <c r="P79" s="4"/>
    </row>
    <row r="80" spans="1:25">
      <c r="B80" s="4"/>
      <c r="G80" s="6" t="s">
        <v>158</v>
      </c>
      <c r="H80" s="4">
        <f>Y71/H79</f>
        <v>606.2598742138365</v>
      </c>
    </row>
    <row r="81" spans="2:8" ht="15.75">
      <c r="B81" s="4"/>
      <c r="C81" s="13"/>
    </row>
    <row r="82" spans="2:8" ht="16.5">
      <c r="B82" s="11"/>
      <c r="C82" s="13"/>
    </row>
    <row r="83" spans="2:8" ht="17.25">
      <c r="B83" s="16"/>
      <c r="C83" s="12"/>
      <c r="G83" s="13"/>
      <c r="H83" s="13"/>
    </row>
    <row r="84" spans="2:8" ht="17.25">
      <c r="B84" s="15"/>
      <c r="C84" s="15"/>
      <c r="G84" s="13"/>
      <c r="H84" s="13"/>
    </row>
    <row r="85" spans="2:8" ht="17.25">
      <c r="B85" s="17"/>
      <c r="C85" s="15"/>
    </row>
    <row r="86" spans="2:8" ht="17.25">
      <c r="B86" s="15"/>
      <c r="C86" s="15"/>
    </row>
    <row r="87" spans="2:8">
      <c r="B87" s="17"/>
      <c r="C87" s="17"/>
    </row>
    <row r="88" spans="2:8">
      <c r="B88" s="17"/>
      <c r="C88" s="17"/>
    </row>
  </sheetData>
  <pageMargins left="0.7" right="0.7" top="0.75" bottom="0.75" header="0.3" footer="0.3"/>
  <pageSetup orientation="portrait" r:id="rId1"/>
  <ignoredErrors>
    <ignoredError sqref="Q42:Q43 Q29 Q40 Q37 Q20:Q26 Q46 Q48 Q55 Q50:Q51" twoDigitTextYear="1"/>
    <ignoredError sqref="O43 P48 O51 P44 P4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2010-06-05T09:28:51Z</dcterms:created>
  <dcterms:modified xsi:type="dcterms:W3CDTF">2010-12-20T12:34:59Z</dcterms:modified>
</cp:coreProperties>
</file>